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25" windowWidth="14955" windowHeight="9180" tabRatio="822" activeTab="0"/>
  </bookViews>
  <sheets>
    <sheet name="Introduction" sheetId="1" r:id="rId1"/>
    <sheet name="Front end MB" sheetId="2" r:id="rId2"/>
    <sheet name="Front end RC" sheetId="3" r:id="rId3"/>
    <sheet name="Front end RB" sheetId="4" r:id="rId4"/>
    <sheet name="Route builder" sheetId="5" r:id="rId5"/>
    <sheet name="road details and costs back end" sheetId="6" state="hidden" r:id="rId6"/>
    <sheet name="RM tables" sheetId="7" state="hidden" r:id="rId7"/>
    <sheet name="Lookup tables" sheetId="8" state="hidden" r:id="rId8"/>
    <sheet name="Delineation costings" sheetId="9" state="hidden" r:id="rId9"/>
    <sheet name="Treatment life" sheetId="10" r:id="rId10"/>
    <sheet name="New Product" sheetId="11" r:id="rId11"/>
  </sheets>
  <definedNames>
    <definedName name="_Toc18207234" localSheetId="1">'RM tables'!$A$10</definedName>
    <definedName name="AADT">'Front end MB'!$C$6</definedName>
    <definedName name="PW150">'Lookup tables'!$D$6:$F$7</definedName>
    <definedName name="PW200">'Lookup tables'!$A$8:$F$9</definedName>
  </definedNames>
  <calcPr fullCalcOnLoad="1"/>
</workbook>
</file>

<file path=xl/comments11.xml><?xml version="1.0" encoding="utf-8"?>
<comments xmlns="http://schemas.openxmlformats.org/spreadsheetml/2006/main">
  <authors>
    <author>Mackie</author>
  </authors>
  <commentList>
    <comment ref="C6" authorId="0">
      <text>
        <r>
          <rPr>
            <b/>
            <sz val="8"/>
            <rFont val="Tahoma"/>
            <family val="0"/>
          </rPr>
          <t>Average life under typical conditions</t>
        </r>
        <r>
          <rPr>
            <sz val="8"/>
            <rFont val="Tahoma"/>
            <family val="0"/>
          </rPr>
          <t xml:space="preserve">
</t>
        </r>
      </text>
    </comment>
    <comment ref="C7" authorId="0">
      <text>
        <r>
          <rPr>
            <b/>
            <sz val="8"/>
            <rFont val="Tahoma"/>
            <family val="0"/>
          </rPr>
          <t>Laid cost per km including TTM</t>
        </r>
        <r>
          <rPr>
            <sz val="8"/>
            <rFont val="Tahoma"/>
            <family val="0"/>
          </rPr>
          <t xml:space="preserve">
</t>
        </r>
      </text>
    </comment>
    <comment ref="C9" authorId="0">
      <text>
        <r>
          <rPr>
            <b/>
            <sz val="8"/>
            <rFont val="Tahoma"/>
            <family val="0"/>
          </rPr>
          <t>Laid cost per km including TTM</t>
        </r>
        <r>
          <rPr>
            <sz val="8"/>
            <rFont val="Tahoma"/>
            <family val="0"/>
          </rPr>
          <t xml:space="preserve">
</t>
        </r>
      </text>
    </comment>
    <comment ref="C10" authorId="0">
      <text>
        <r>
          <rPr>
            <b/>
            <sz val="8"/>
            <rFont val="Tahoma"/>
            <family val="0"/>
          </rPr>
          <t>Laid cost per km including TTM</t>
        </r>
        <r>
          <rPr>
            <sz val="8"/>
            <rFont val="Tahoma"/>
            <family val="0"/>
          </rPr>
          <t xml:space="preserve">
</t>
        </r>
      </text>
    </comment>
    <comment ref="C11" authorId="0">
      <text>
        <r>
          <rPr>
            <b/>
            <sz val="8"/>
            <rFont val="Tahoma"/>
            <family val="0"/>
          </rPr>
          <t>Laid cost per km including TTM</t>
        </r>
        <r>
          <rPr>
            <sz val="8"/>
            <rFont val="Tahoma"/>
            <family val="0"/>
          </rPr>
          <t xml:space="preserve">
</t>
        </r>
      </text>
    </comment>
    <comment ref="C12" authorId="0">
      <text>
        <r>
          <rPr>
            <b/>
            <sz val="8"/>
            <rFont val="Tahoma"/>
            <family val="0"/>
          </rPr>
          <t>Laid cost per km including TTM</t>
        </r>
        <r>
          <rPr>
            <sz val="8"/>
            <rFont val="Tahoma"/>
            <family val="0"/>
          </rPr>
          <t xml:space="preserve">
</t>
        </r>
      </text>
    </comment>
    <comment ref="C13" authorId="0">
      <text>
        <r>
          <rPr>
            <b/>
            <sz val="8"/>
            <rFont val="Tahoma"/>
            <family val="0"/>
          </rPr>
          <t>Laid cost per km including TTM</t>
        </r>
        <r>
          <rPr>
            <sz val="8"/>
            <rFont val="Tahoma"/>
            <family val="0"/>
          </rPr>
          <t xml:space="preserve">
</t>
        </r>
      </text>
    </comment>
    <comment ref="C14" authorId="0">
      <text>
        <r>
          <rPr>
            <b/>
            <sz val="8"/>
            <rFont val="Tahoma"/>
            <family val="0"/>
          </rPr>
          <t>Laid cost per km including TTM</t>
        </r>
        <r>
          <rPr>
            <sz val="8"/>
            <rFont val="Tahoma"/>
            <family val="0"/>
          </rPr>
          <t xml:space="preserve">
</t>
        </r>
      </text>
    </comment>
  </commentList>
</comments>
</file>

<file path=xl/comments2.xml><?xml version="1.0" encoding="utf-8"?>
<comments xmlns="http://schemas.openxmlformats.org/spreadsheetml/2006/main">
  <authors>
    <author>Mackie</author>
  </authors>
  <commentList>
    <comment ref="A6" authorId="0">
      <text>
        <r>
          <rPr>
            <b/>
            <sz val="8"/>
            <rFont val="Tahoma"/>
            <family val="0"/>
          </rPr>
          <t>Two way daily traffic volume</t>
        </r>
        <r>
          <rPr>
            <sz val="8"/>
            <rFont val="Tahoma"/>
            <family val="0"/>
          </rPr>
          <t xml:space="preserve">
</t>
        </r>
      </text>
    </comment>
    <comment ref="A7" authorId="0">
      <text>
        <r>
          <rPr>
            <sz val="8"/>
            <rFont val="Tahoma"/>
            <family val="0"/>
          </rPr>
          <t xml:space="preserve">Level 1: 500 &lt; 10,000 vpd
Level 2: &gt; 10,000 vpd
</t>
        </r>
      </text>
    </comment>
    <comment ref="A9" authorId="0">
      <text>
        <r>
          <rPr>
            <sz val="8"/>
            <rFont val="Tahoma"/>
            <family val="0"/>
          </rPr>
          <t xml:space="preserve">Units: 100,000,000 vehicle km per year
</t>
        </r>
      </text>
    </comment>
    <comment ref="A10" authorId="0">
      <text>
        <r>
          <rPr>
            <sz val="8"/>
            <rFont val="Tahoma"/>
            <family val="0"/>
          </rPr>
          <t xml:space="preserve">level: 0-3%
Rolling: &gt;3-6%
Mountainous: &gt;6%
</t>
        </r>
      </text>
    </comment>
    <comment ref="A18" authorId="0">
      <text>
        <r>
          <rPr>
            <b/>
            <sz val="8"/>
            <rFont val="Tahoma"/>
            <family val="0"/>
          </rPr>
          <t>See MOT document: The Social Cost of Road Crashes and Injuries June 2006 update</t>
        </r>
        <r>
          <rPr>
            <sz val="8"/>
            <rFont val="Tahoma"/>
            <family val="0"/>
          </rPr>
          <t xml:space="preserve">
</t>
        </r>
      </text>
    </comment>
    <comment ref="A19" authorId="0">
      <text>
        <r>
          <rPr>
            <sz val="8"/>
            <rFont val="Tahoma"/>
            <family val="0"/>
          </rPr>
          <t xml:space="preserve">Average rural injury cost multiplied by number of injury crashes per year
</t>
        </r>
      </text>
    </comment>
    <comment ref="A20" authorId="0">
      <text>
        <r>
          <rPr>
            <sz val="8"/>
            <rFont val="Tahoma"/>
            <family val="0"/>
          </rPr>
          <t xml:space="preserve">Click on button below for information regarding delineation improvement crash reduction rates
</t>
        </r>
      </text>
    </comment>
    <comment ref="A21" authorId="0">
      <text>
        <r>
          <rPr>
            <sz val="8"/>
            <rFont val="Tahoma"/>
            <family val="0"/>
          </rPr>
          <t xml:space="preserve">Baseline treatment yearly social cost reduced by treatment crash reduction
</t>
        </r>
      </text>
    </comment>
    <comment ref="A23" authorId="0">
      <text>
        <r>
          <rPr>
            <sz val="8"/>
            <rFont val="Tahoma"/>
            <family val="0"/>
          </rPr>
          <t xml:space="preserve">Annual Social cost savings due to delineation improvement (not PV corrected)
</t>
        </r>
      </text>
    </comment>
    <comment ref="A24" authorId="0">
      <text>
        <r>
          <rPr>
            <sz val="8"/>
            <rFont val="Tahoma"/>
            <family val="0"/>
          </rPr>
          <t>Annual improvement benefit multiplied by USPWF factor (See discounting procedures LTNZ PEM A1.4)</t>
        </r>
      </text>
    </comment>
    <comment ref="E6" authorId="0">
      <text>
        <r>
          <rPr>
            <sz val="8"/>
            <rFont val="Tahoma"/>
            <family val="0"/>
          </rPr>
          <t xml:space="preserve">This is the product that would normally be used for delineation
</t>
        </r>
      </text>
    </comment>
    <comment ref="E7" authorId="0">
      <text>
        <r>
          <rPr>
            <b/>
            <sz val="8"/>
            <rFont val="Tahoma"/>
            <family val="0"/>
          </rPr>
          <t>Total laid cost of four lines (2 edge, 2 centre) including TTM costs, for the road length selected</t>
        </r>
        <r>
          <rPr>
            <sz val="8"/>
            <rFont val="Tahoma"/>
            <family val="0"/>
          </rPr>
          <t xml:space="preserve">
</t>
        </r>
      </text>
    </comment>
    <comment ref="E9" authorId="0">
      <text>
        <r>
          <rPr>
            <sz val="8"/>
            <rFont val="Tahoma"/>
            <family val="0"/>
          </rPr>
          <t xml:space="preserve">Average treatment life for medium traffic density state highway based on industry feedback. Please note that many factors can affect treatment life such as traffic volume and path, dirt,weather conditions and exposure to UV light. Click on the button to the right to change the baseline treatment life.
</t>
        </r>
      </text>
    </comment>
    <comment ref="E10" authorId="0">
      <text>
        <r>
          <rPr>
            <sz val="8"/>
            <rFont val="Tahoma"/>
            <family val="0"/>
          </rPr>
          <t xml:space="preserve">Laid baseline cost divided by Baseline life and multiplied by road length. Note: If the Seal life (below) is less than baseline life, then Seal life is used to determine Baseline yearly cost
</t>
        </r>
      </text>
    </comment>
    <comment ref="E12" authorId="0">
      <text>
        <r>
          <rPr>
            <b/>
            <sz val="8"/>
            <rFont val="Tahoma"/>
            <family val="0"/>
          </rPr>
          <t>Number of years before major resealing will occur. If seal life is lower than treatment life, then seal life is used as treatment life.  Patches to seal are not considered.</t>
        </r>
        <r>
          <rPr>
            <sz val="8"/>
            <rFont val="Tahoma"/>
            <family val="0"/>
          </rPr>
          <t xml:space="preserve">
</t>
        </r>
      </text>
    </comment>
    <comment ref="E23" authorId="0">
      <text>
        <r>
          <rPr>
            <b/>
            <sz val="8"/>
            <rFont val="Tahoma"/>
            <family val="0"/>
          </rPr>
          <t>Total laid cost including TTM costs for the road length selected</t>
        </r>
        <r>
          <rPr>
            <sz val="8"/>
            <rFont val="Tahoma"/>
            <family val="0"/>
          </rPr>
          <t xml:space="preserve">
</t>
        </r>
      </text>
    </comment>
    <comment ref="E38" authorId="0">
      <text>
        <r>
          <rPr>
            <b/>
            <sz val="8"/>
            <rFont val="Tahoma"/>
            <family val="0"/>
          </rPr>
          <t>Average treatment life for medium traffic density state highway based on industry feedback. Please note that many factors can affect treatment life such as traffic volume and path, dirt,weather conditions and exposure to UV light. Click on the button to the right to change the baseline treatment life.</t>
        </r>
        <r>
          <rPr>
            <sz val="8"/>
            <rFont val="Tahoma"/>
            <family val="0"/>
          </rPr>
          <t xml:space="preserve">
</t>
        </r>
      </text>
    </comment>
    <comment ref="E24" authorId="0">
      <text>
        <r>
          <rPr>
            <b/>
            <sz val="8"/>
            <rFont val="Tahoma"/>
            <family val="0"/>
          </rPr>
          <t>Average treatment life for medium traffic density state highway based on industry feedback. Please note that many factors can affect treatment life such as traffic volume and path, dirt,weather conditions and exposure to UV light. Click on the button to the right to change the baseline treatment life.</t>
        </r>
        <r>
          <rPr>
            <sz val="8"/>
            <rFont val="Tahoma"/>
            <family val="0"/>
          </rPr>
          <t xml:space="preserve">
</t>
        </r>
      </text>
    </comment>
    <comment ref="E25" authorId="0">
      <text>
        <r>
          <rPr>
            <b/>
            <sz val="8"/>
            <rFont val="Tahoma"/>
            <family val="0"/>
          </rPr>
          <t>Laid treatment cost divided by the product life or seal life if less than product life</t>
        </r>
        <r>
          <rPr>
            <sz val="8"/>
            <rFont val="Tahoma"/>
            <family val="0"/>
          </rPr>
          <t xml:space="preserve">
</t>
        </r>
      </text>
    </comment>
    <comment ref="E39" authorId="0">
      <text>
        <r>
          <rPr>
            <b/>
            <sz val="8"/>
            <rFont val="Tahoma"/>
            <family val="0"/>
          </rPr>
          <t>Laid treatment cost divided by the product life or seal life if less than product life</t>
        </r>
        <r>
          <rPr>
            <sz val="8"/>
            <rFont val="Tahoma"/>
            <family val="0"/>
          </rPr>
          <t xml:space="preserve">
</t>
        </r>
      </text>
    </comment>
    <comment ref="E32" authorId="0">
      <text>
        <r>
          <rPr>
            <sz val="8"/>
            <rFont val="Tahoma"/>
            <family val="0"/>
          </rPr>
          <t xml:space="preserve">No passing lines are used as delineation improvement generally occur at places where passing is discouraged
</t>
        </r>
      </text>
    </comment>
    <comment ref="E26" authorId="0">
      <text>
        <r>
          <rPr>
            <b/>
            <sz val="8"/>
            <rFont val="Tahoma"/>
            <family val="0"/>
          </rPr>
          <t>Laid treatment costs above baseline costs (not PV adjusted)</t>
        </r>
        <r>
          <rPr>
            <sz val="8"/>
            <rFont val="Tahoma"/>
            <family val="0"/>
          </rPr>
          <t xml:space="preserve">
</t>
        </r>
      </text>
    </comment>
    <comment ref="E40" authorId="0">
      <text>
        <r>
          <rPr>
            <b/>
            <sz val="8"/>
            <rFont val="Tahoma"/>
            <family val="0"/>
          </rPr>
          <t>Laid treatment costs above baseline costs (not PV adjusted)</t>
        </r>
        <r>
          <rPr>
            <sz val="8"/>
            <rFont val="Tahoma"/>
            <family val="0"/>
          </rPr>
          <t xml:space="preserve">
</t>
        </r>
      </text>
    </comment>
    <comment ref="E43" authorId="0">
      <text>
        <r>
          <rPr>
            <b/>
            <sz val="8"/>
            <rFont val="Tahoma"/>
            <family val="0"/>
          </rPr>
          <t>Total combined (edgelines and centrelines) cost of treatment</t>
        </r>
        <r>
          <rPr>
            <sz val="8"/>
            <rFont val="Tahoma"/>
            <family val="0"/>
          </rPr>
          <t xml:space="preserve">
</t>
        </r>
      </text>
    </comment>
    <comment ref="E44" authorId="0">
      <text>
        <r>
          <rPr>
            <b/>
            <sz val="8"/>
            <rFont val="Tahoma"/>
            <family val="0"/>
          </rPr>
          <t>Combined treatment cost - yearly baseline cost (which includes only 3 lines - 1 centre)</t>
        </r>
        <r>
          <rPr>
            <sz val="8"/>
            <rFont val="Tahoma"/>
            <family val="0"/>
          </rPr>
          <t xml:space="preserve">
</t>
        </r>
      </text>
    </comment>
    <comment ref="E46" authorId="0">
      <text>
        <r>
          <rPr>
            <b/>
            <sz val="8"/>
            <rFont val="Tahoma"/>
            <family val="0"/>
          </rPr>
          <t>NPV treatment life benefits divided by Net treatment lifetime cost</t>
        </r>
        <r>
          <rPr>
            <sz val="8"/>
            <rFont val="Tahoma"/>
            <family val="0"/>
          </rPr>
          <t xml:space="preserve">
</t>
        </r>
      </text>
    </comment>
    <comment ref="E37" authorId="0">
      <text>
        <r>
          <rPr>
            <b/>
            <sz val="8"/>
            <rFont val="Tahoma"/>
            <family val="0"/>
          </rPr>
          <t>Total laid cost including TTM costs for the road length selected</t>
        </r>
        <r>
          <rPr>
            <sz val="8"/>
            <rFont val="Tahoma"/>
            <family val="0"/>
          </rPr>
          <t xml:space="preserve">
</t>
        </r>
      </text>
    </comment>
    <comment ref="B15" authorId="0">
      <text>
        <r>
          <rPr>
            <b/>
            <sz val="8"/>
            <rFont val="Tahoma"/>
            <family val="0"/>
          </rPr>
          <t>accidents per year with movement codes B, C and D.  Seen LTNZ PEM A6.5.10 for equation details</t>
        </r>
        <r>
          <rPr>
            <sz val="8"/>
            <rFont val="Tahoma"/>
            <family val="0"/>
          </rPr>
          <t xml:space="preserve">
</t>
        </r>
      </text>
    </comment>
    <comment ref="B16" authorId="0">
      <text>
        <r>
          <rPr>
            <b/>
            <sz val="8"/>
            <rFont val="Tahoma"/>
            <family val="0"/>
          </rPr>
          <t>Annual average over a period of at least 5 years</t>
        </r>
      </text>
    </comment>
    <comment ref="E34" authorId="0">
      <text>
        <r>
          <rPr>
            <b/>
            <sz val="8"/>
            <rFont val="Tahoma"/>
            <family val="0"/>
          </rPr>
          <t>Please note that current MOTSAM state that RRPMs should be placed at 10m intervals for no overtaking lines</t>
        </r>
        <r>
          <rPr>
            <sz val="8"/>
            <rFont val="Tahoma"/>
            <family val="0"/>
          </rPr>
          <t xml:space="preserve">
</t>
        </r>
        <r>
          <rPr>
            <b/>
            <sz val="8"/>
            <rFont val="Tahoma"/>
            <family val="2"/>
          </rPr>
          <t>Also, only RRPMs with plastic faces are suitable for chipseal and are therefore used here</t>
        </r>
      </text>
    </comment>
    <comment ref="E36" authorId="0">
      <text>
        <r>
          <rPr>
            <b/>
            <sz val="8"/>
            <rFont val="Tahoma"/>
            <family val="0"/>
          </rPr>
          <t>Cost over and above Plastic RRPMs at 10m intervals as per MOTSAM</t>
        </r>
        <r>
          <rPr>
            <sz val="8"/>
            <rFont val="Tahoma"/>
            <family val="0"/>
          </rPr>
          <t xml:space="preserve">
</t>
        </r>
      </text>
    </comment>
    <comment ref="E8" authorId="0">
      <text>
        <r>
          <rPr>
            <b/>
            <sz val="8"/>
            <rFont val="Tahoma"/>
            <family val="0"/>
          </rPr>
          <t>If a user defined yearly cost is entered it will automatically over-ride the yearly cost that is given by this tool</t>
        </r>
        <r>
          <rPr>
            <sz val="8"/>
            <rFont val="Tahoma"/>
            <family val="0"/>
          </rPr>
          <t xml:space="preserve">
</t>
        </r>
      </text>
    </comment>
    <comment ref="E19" authorId="0">
      <text>
        <r>
          <rPr>
            <b/>
            <sz val="8"/>
            <rFont val="Tahoma"/>
            <family val="0"/>
          </rPr>
          <t>If a user defined yearly cost is entered it will automatically over-ride the yearly cost that is given by this tool</t>
        </r>
        <r>
          <rPr>
            <sz val="8"/>
            <rFont val="Tahoma"/>
            <family val="0"/>
          </rPr>
          <t xml:space="preserve">
</t>
        </r>
      </text>
    </comment>
    <comment ref="E33" authorId="0">
      <text>
        <r>
          <rPr>
            <b/>
            <sz val="8"/>
            <rFont val="Tahoma"/>
            <family val="0"/>
          </rPr>
          <t>If a user defined yearly cost is entered it will automatically over-ride the yearly cost that is given by this tool</t>
        </r>
        <r>
          <rPr>
            <sz val="8"/>
            <rFont val="Tahoma"/>
            <family val="0"/>
          </rPr>
          <t xml:space="preserve">
</t>
        </r>
      </text>
    </comment>
  </commentList>
</comments>
</file>

<file path=xl/comments3.xml><?xml version="1.0" encoding="utf-8"?>
<comments xmlns="http://schemas.openxmlformats.org/spreadsheetml/2006/main">
  <authors>
    <author>Mackie</author>
  </authors>
  <commentList>
    <comment ref="C21" authorId="0">
      <text>
        <r>
          <rPr>
            <b/>
            <sz val="8"/>
            <rFont val="Tahoma"/>
            <family val="0"/>
          </rPr>
          <t>From LTNZ PEM A 6.13</t>
        </r>
        <r>
          <rPr>
            <sz val="8"/>
            <rFont val="Tahoma"/>
            <family val="0"/>
          </rPr>
          <t xml:space="preserve">
</t>
        </r>
      </text>
    </comment>
    <comment ref="A6" authorId="0">
      <text>
        <r>
          <rPr>
            <b/>
            <sz val="8"/>
            <rFont val="Tahoma"/>
            <family val="0"/>
          </rPr>
          <t>Two way daily traffic volume</t>
        </r>
        <r>
          <rPr>
            <sz val="8"/>
            <rFont val="Tahoma"/>
            <family val="0"/>
          </rPr>
          <t xml:space="preserve">
</t>
        </r>
      </text>
    </comment>
    <comment ref="A7" authorId="0">
      <text>
        <r>
          <rPr>
            <sz val="8"/>
            <rFont val="Tahoma"/>
            <family val="0"/>
          </rPr>
          <t xml:space="preserve">Level 1: 500 &lt; 10,000 vpd
Level 2: &gt; 10,000 vpd
</t>
        </r>
      </text>
    </comment>
    <comment ref="A9" authorId="0">
      <text>
        <r>
          <rPr>
            <b/>
            <sz val="8"/>
            <rFont val="Tahoma"/>
            <family val="0"/>
          </rPr>
          <t>100,000,000 vehicles in each direction passing through the curve</t>
        </r>
        <r>
          <rPr>
            <sz val="8"/>
            <rFont val="Tahoma"/>
            <family val="0"/>
          </rPr>
          <t xml:space="preserve">
</t>
        </r>
      </text>
    </comment>
    <comment ref="A22" authorId="0">
      <text>
        <r>
          <rPr>
            <sz val="8"/>
            <rFont val="Tahoma"/>
            <family val="0"/>
          </rPr>
          <t xml:space="preserve">Average rural injury cost multiplied by number of injury crashes per year
</t>
        </r>
      </text>
    </comment>
    <comment ref="A23" authorId="0">
      <text>
        <r>
          <rPr>
            <sz val="8"/>
            <rFont val="Tahoma"/>
            <family val="0"/>
          </rPr>
          <t xml:space="preserve">Click on button below for information regarding delineation improvement crash reduction rates
</t>
        </r>
      </text>
    </comment>
    <comment ref="A24" authorId="0">
      <text>
        <r>
          <rPr>
            <sz val="8"/>
            <rFont val="Tahoma"/>
            <family val="0"/>
          </rPr>
          <t xml:space="preserve">Baseline treatment yearly social cost reduced by treatment crash reduction
</t>
        </r>
      </text>
    </comment>
    <comment ref="B16" authorId="0">
      <text>
        <r>
          <rPr>
            <b/>
            <sz val="8"/>
            <rFont val="Tahoma"/>
            <family val="0"/>
          </rPr>
          <t>Reported injury accidents per year with movement codes B, C and D.  Seen LTNZ PEM A6.5.8 for equation details</t>
        </r>
        <r>
          <rPr>
            <sz val="8"/>
            <rFont val="Tahoma"/>
            <family val="0"/>
          </rPr>
          <t xml:space="preserve">
</t>
        </r>
      </text>
    </comment>
    <comment ref="B17" authorId="0">
      <text>
        <r>
          <rPr>
            <b/>
            <sz val="8"/>
            <rFont val="Tahoma"/>
            <family val="0"/>
          </rPr>
          <t>accidents per year with movement codes B, C and D.  Seen LTNZ PEM A6.5.8 for equation details</t>
        </r>
      </text>
    </comment>
    <comment ref="B18" authorId="0">
      <text>
        <r>
          <rPr>
            <b/>
            <sz val="8"/>
            <rFont val="Tahoma"/>
            <family val="0"/>
          </rPr>
          <t>Reported injury accidents per year with movement codes B, C and D</t>
        </r>
        <r>
          <rPr>
            <sz val="8"/>
            <rFont val="Tahoma"/>
            <family val="0"/>
          </rPr>
          <t xml:space="preserve">
</t>
        </r>
      </text>
    </comment>
    <comment ref="B19" authorId="0">
      <text>
        <r>
          <rPr>
            <b/>
            <sz val="8"/>
            <rFont val="Tahoma"/>
            <family val="0"/>
          </rPr>
          <t>Annual average over a period of at least 5 years</t>
        </r>
      </text>
    </comment>
    <comment ref="A26" authorId="0">
      <text>
        <r>
          <rPr>
            <sz val="8"/>
            <rFont val="Tahoma"/>
            <family val="0"/>
          </rPr>
          <t xml:space="preserve">Annual Social cost savings due to delineation improvement (not PV corrected)
</t>
        </r>
      </text>
    </comment>
    <comment ref="A27" authorId="0">
      <text>
        <r>
          <rPr>
            <sz val="8"/>
            <rFont val="Tahoma"/>
            <family val="0"/>
          </rPr>
          <t>Annual improvement benefit multiplied by USPWF factor (See discounting procedures LTNZ PEM A1.4)</t>
        </r>
      </text>
    </comment>
    <comment ref="E12" authorId="0">
      <text>
        <r>
          <rPr>
            <b/>
            <sz val="8"/>
            <rFont val="Tahoma"/>
            <family val="0"/>
          </rPr>
          <t>Number of years before major resealing will occur. If seal life is lower than treatment life, then seal life is used as treatment life.  Patches to seal are not considered.</t>
        </r>
        <r>
          <rPr>
            <sz val="8"/>
            <rFont val="Tahoma"/>
            <family val="0"/>
          </rPr>
          <t xml:space="preserve">
</t>
        </r>
      </text>
    </comment>
    <comment ref="E23" authorId="0">
      <text>
        <r>
          <rPr>
            <b/>
            <sz val="8"/>
            <rFont val="Tahoma"/>
            <family val="0"/>
          </rPr>
          <t>Total laid cost including TTM costs for the road length selected</t>
        </r>
        <r>
          <rPr>
            <sz val="8"/>
            <rFont val="Tahoma"/>
            <family val="0"/>
          </rPr>
          <t xml:space="preserve">
</t>
        </r>
      </text>
    </comment>
    <comment ref="E24" authorId="0">
      <text>
        <r>
          <rPr>
            <b/>
            <sz val="8"/>
            <rFont val="Tahoma"/>
            <family val="0"/>
          </rPr>
          <t>Average treatment life for medium traffic density state highway based on industry feedback. Please note that many factors can affect treatment life such as traffic volume and path, dirt,weather conditions and exposure to UV light. Click on the button to the right to change the baseline treatment life.</t>
        </r>
        <r>
          <rPr>
            <sz val="8"/>
            <rFont val="Tahoma"/>
            <family val="0"/>
          </rPr>
          <t xml:space="preserve">
</t>
        </r>
      </text>
    </comment>
    <comment ref="E25" authorId="0">
      <text>
        <r>
          <rPr>
            <b/>
            <sz val="8"/>
            <rFont val="Tahoma"/>
            <family val="0"/>
          </rPr>
          <t>Laid treatment cost divided by the product life or seal life if less than product life</t>
        </r>
        <r>
          <rPr>
            <sz val="8"/>
            <rFont val="Tahoma"/>
            <family val="0"/>
          </rPr>
          <t xml:space="preserve">
</t>
        </r>
      </text>
    </comment>
    <comment ref="E26" authorId="0">
      <text>
        <r>
          <rPr>
            <b/>
            <sz val="8"/>
            <rFont val="Tahoma"/>
            <family val="0"/>
          </rPr>
          <t>Laid treatment costs above baseline costs (not PV adjusted)</t>
        </r>
        <r>
          <rPr>
            <sz val="8"/>
            <rFont val="Tahoma"/>
            <family val="0"/>
          </rPr>
          <t xml:space="preserve">
</t>
        </r>
      </text>
    </comment>
    <comment ref="E32" authorId="0">
      <text>
        <r>
          <rPr>
            <sz val="8"/>
            <rFont val="Tahoma"/>
            <family val="0"/>
          </rPr>
          <t xml:space="preserve">No passing lines are used as delineation improvement generally occur at places where passing is discouraged
</t>
        </r>
      </text>
    </comment>
    <comment ref="E34" authorId="0">
      <text>
        <r>
          <rPr>
            <b/>
            <sz val="8"/>
            <rFont val="Tahoma"/>
            <family val="0"/>
          </rPr>
          <t>Please note that current MOTSAM state that RRPMs should be placed at 10m intervals for no overtaking lines</t>
        </r>
        <r>
          <rPr>
            <sz val="8"/>
            <rFont val="Tahoma"/>
            <family val="0"/>
          </rPr>
          <t xml:space="preserve">
</t>
        </r>
        <r>
          <rPr>
            <b/>
            <sz val="8"/>
            <rFont val="Tahoma"/>
            <family val="2"/>
          </rPr>
          <t>Also, only RRPMs with plastic faces are suitable for chipseal and are therefore used here</t>
        </r>
      </text>
    </comment>
    <comment ref="E36" authorId="0">
      <text>
        <r>
          <rPr>
            <b/>
            <sz val="8"/>
            <rFont val="Tahoma"/>
            <family val="0"/>
          </rPr>
          <t>Cost over and above Plastic RRPMs at 10m intervals as per MOTSAM</t>
        </r>
        <r>
          <rPr>
            <sz val="8"/>
            <rFont val="Tahoma"/>
            <family val="0"/>
          </rPr>
          <t xml:space="preserve">
</t>
        </r>
      </text>
    </comment>
    <comment ref="E37" authorId="0">
      <text>
        <r>
          <rPr>
            <b/>
            <sz val="8"/>
            <rFont val="Tahoma"/>
            <family val="0"/>
          </rPr>
          <t>Total laid cost including TTM costs for the road length selected</t>
        </r>
        <r>
          <rPr>
            <sz val="8"/>
            <rFont val="Tahoma"/>
            <family val="0"/>
          </rPr>
          <t xml:space="preserve">
</t>
        </r>
      </text>
    </comment>
    <comment ref="E38" authorId="0">
      <text>
        <r>
          <rPr>
            <b/>
            <sz val="8"/>
            <rFont val="Tahoma"/>
            <family val="0"/>
          </rPr>
          <t>Average treatment life for medium traffic density state highway based on industry feedback. Please note that many factors can affect treatment life such as traffic volume and path, dirt,weather conditions and exposure to UV light. Click on the button to the right to change the baseline treatment life.</t>
        </r>
        <r>
          <rPr>
            <sz val="8"/>
            <rFont val="Tahoma"/>
            <family val="0"/>
          </rPr>
          <t xml:space="preserve">
</t>
        </r>
      </text>
    </comment>
    <comment ref="E39" authorId="0">
      <text>
        <r>
          <rPr>
            <b/>
            <sz val="8"/>
            <rFont val="Tahoma"/>
            <family val="0"/>
          </rPr>
          <t>Laid treatment cost divided by the product life or seal life if less than product life</t>
        </r>
        <r>
          <rPr>
            <sz val="8"/>
            <rFont val="Tahoma"/>
            <family val="0"/>
          </rPr>
          <t xml:space="preserve">
</t>
        </r>
      </text>
    </comment>
    <comment ref="E40" authorId="0">
      <text>
        <r>
          <rPr>
            <b/>
            <sz val="8"/>
            <rFont val="Tahoma"/>
            <family val="0"/>
          </rPr>
          <t>Laid treatment costs above baseline costs (not PV adjusted)</t>
        </r>
        <r>
          <rPr>
            <sz val="8"/>
            <rFont val="Tahoma"/>
            <family val="0"/>
          </rPr>
          <t xml:space="preserve">
</t>
        </r>
      </text>
    </comment>
    <comment ref="E43" authorId="0">
      <text>
        <r>
          <rPr>
            <b/>
            <sz val="8"/>
            <rFont val="Tahoma"/>
            <family val="0"/>
          </rPr>
          <t>Total combined (edgelines and centrelines) cost of treatment</t>
        </r>
        <r>
          <rPr>
            <sz val="8"/>
            <rFont val="Tahoma"/>
            <family val="0"/>
          </rPr>
          <t xml:space="preserve">
</t>
        </r>
      </text>
    </comment>
    <comment ref="E46" authorId="0">
      <text>
        <r>
          <rPr>
            <b/>
            <sz val="8"/>
            <rFont val="Tahoma"/>
            <family val="0"/>
          </rPr>
          <t>PV improvement life benefit divided by PV improvement life cost</t>
        </r>
        <r>
          <rPr>
            <sz val="8"/>
            <rFont val="Tahoma"/>
            <family val="0"/>
          </rPr>
          <t xml:space="preserve">
</t>
        </r>
      </text>
    </comment>
    <comment ref="E44" authorId="0">
      <text>
        <r>
          <rPr>
            <b/>
            <sz val="8"/>
            <rFont val="Tahoma"/>
            <family val="0"/>
          </rPr>
          <t>Combined treatment cost - yearly baseline cost</t>
        </r>
        <r>
          <rPr>
            <sz val="8"/>
            <rFont val="Tahoma"/>
            <family val="0"/>
          </rPr>
          <t xml:space="preserve">
</t>
        </r>
      </text>
    </comment>
    <comment ref="A21" authorId="0">
      <text>
        <r>
          <rPr>
            <b/>
            <sz val="8"/>
            <rFont val="Tahoma"/>
            <family val="0"/>
          </rPr>
          <t>See MOT document: The Social Cost of Road Crashes and Injuries June 2006 update</t>
        </r>
        <r>
          <rPr>
            <sz val="8"/>
            <rFont val="Tahoma"/>
            <family val="0"/>
          </rPr>
          <t xml:space="preserve">
</t>
        </r>
      </text>
    </comment>
    <comment ref="E19" authorId="0">
      <text>
        <r>
          <rPr>
            <b/>
            <sz val="8"/>
            <rFont val="Tahoma"/>
            <family val="0"/>
          </rPr>
          <t>If a user defined yearly cost is entered it will automatically over-ride the yearly cost that is given by this tool</t>
        </r>
        <r>
          <rPr>
            <sz val="8"/>
            <rFont val="Tahoma"/>
            <family val="0"/>
          </rPr>
          <t xml:space="preserve">
</t>
        </r>
      </text>
    </comment>
    <comment ref="E33" authorId="0">
      <text>
        <r>
          <rPr>
            <b/>
            <sz val="8"/>
            <rFont val="Tahoma"/>
            <family val="0"/>
          </rPr>
          <t>If a user defined yearly cost is entered it will automatically over-ride the yearly cost that is given by this tool</t>
        </r>
        <r>
          <rPr>
            <sz val="8"/>
            <rFont val="Tahoma"/>
            <family val="0"/>
          </rPr>
          <t xml:space="preserve">
</t>
        </r>
      </text>
    </comment>
    <comment ref="E6" authorId="0">
      <text>
        <r>
          <rPr>
            <sz val="8"/>
            <rFont val="Tahoma"/>
            <family val="0"/>
          </rPr>
          <t xml:space="preserve">This is the product that would normally be used for delineation
</t>
        </r>
      </text>
    </comment>
    <comment ref="E7" authorId="0">
      <text>
        <r>
          <rPr>
            <b/>
            <sz val="8"/>
            <rFont val="Tahoma"/>
            <family val="0"/>
          </rPr>
          <t>Total laid cost of four lines (2 edge, 2 centre) including TTM costs, for the road length selected</t>
        </r>
        <r>
          <rPr>
            <sz val="8"/>
            <rFont val="Tahoma"/>
            <family val="0"/>
          </rPr>
          <t xml:space="preserve">
</t>
        </r>
      </text>
    </comment>
    <comment ref="E8" authorId="0">
      <text>
        <r>
          <rPr>
            <b/>
            <sz val="8"/>
            <rFont val="Tahoma"/>
            <family val="0"/>
          </rPr>
          <t>If a user defined yearly cost is entered it will automatically over-ride the yearly cost that is given by this tool</t>
        </r>
        <r>
          <rPr>
            <sz val="8"/>
            <rFont val="Tahoma"/>
            <family val="0"/>
          </rPr>
          <t xml:space="preserve">
</t>
        </r>
      </text>
    </comment>
    <comment ref="E9" authorId="0">
      <text>
        <r>
          <rPr>
            <sz val="8"/>
            <rFont val="Tahoma"/>
            <family val="0"/>
          </rPr>
          <t xml:space="preserve">Average treatment life for medium traffic density state highway based on industry feedback. Please note that many factors can affect treatment life such as traffic volume and path, dirt,weather conditions and exposure to UV light. Click on the button to the right to change the baseline treatment life.
</t>
        </r>
      </text>
    </comment>
    <comment ref="E10" authorId="0">
      <text>
        <r>
          <rPr>
            <sz val="8"/>
            <rFont val="Tahoma"/>
            <family val="0"/>
          </rPr>
          <t xml:space="preserve">Laid baseline cost divided by Baseline life and multiplied by road length. Note: If the Seal life (below) is less than baseline life, then Seal life is used to determine Baseline yearly cost
</t>
        </r>
      </text>
    </comment>
  </commentList>
</comments>
</file>

<file path=xl/comments4.xml><?xml version="1.0" encoding="utf-8"?>
<comments xmlns="http://schemas.openxmlformats.org/spreadsheetml/2006/main">
  <authors>
    <author>Mackie</author>
  </authors>
  <commentList>
    <comment ref="C17" authorId="0">
      <text>
        <r>
          <rPr>
            <b/>
            <sz val="8"/>
            <rFont val="Tahoma"/>
            <family val="0"/>
          </rPr>
          <t>PEM table A 6.13</t>
        </r>
        <r>
          <rPr>
            <sz val="8"/>
            <rFont val="Tahoma"/>
            <family val="0"/>
          </rPr>
          <t xml:space="preserve">
</t>
        </r>
      </text>
    </comment>
    <comment ref="A6" authorId="0">
      <text>
        <r>
          <rPr>
            <b/>
            <sz val="8"/>
            <rFont val="Tahoma"/>
            <family val="0"/>
          </rPr>
          <t>Two way daily traffic volume</t>
        </r>
        <r>
          <rPr>
            <sz val="8"/>
            <rFont val="Tahoma"/>
            <family val="0"/>
          </rPr>
          <t xml:space="preserve">
</t>
        </r>
      </text>
    </comment>
    <comment ref="A7" authorId="0">
      <text>
        <r>
          <rPr>
            <sz val="8"/>
            <rFont val="Tahoma"/>
            <family val="0"/>
          </rPr>
          <t xml:space="preserve">Level 1: 500 &lt; 10,000 vpd
Level 2: &gt; 10,000 vpd
</t>
        </r>
      </text>
    </comment>
    <comment ref="A18" authorId="0">
      <text>
        <r>
          <rPr>
            <sz val="8"/>
            <rFont val="Tahoma"/>
            <family val="0"/>
          </rPr>
          <t xml:space="preserve">Average rural injury cost multiplied by number of injury crashes per year
</t>
        </r>
      </text>
    </comment>
    <comment ref="A19" authorId="0">
      <text>
        <r>
          <rPr>
            <sz val="8"/>
            <rFont val="Tahoma"/>
            <family val="0"/>
          </rPr>
          <t xml:space="preserve">Click on button below for information regarding delineation improvement crash reduction rates
</t>
        </r>
      </text>
    </comment>
    <comment ref="A20" authorId="0">
      <text>
        <r>
          <rPr>
            <sz val="8"/>
            <rFont val="Tahoma"/>
            <family val="0"/>
          </rPr>
          <t xml:space="preserve">Baseline treatment yearly social cost reduced by treatment crash reduction
</t>
        </r>
      </text>
    </comment>
    <comment ref="A9" authorId="0">
      <text>
        <r>
          <rPr>
            <b/>
            <sz val="8"/>
            <rFont val="Tahoma"/>
            <family val="0"/>
          </rPr>
          <t>100,000,000 vehicles in both directions passing over the bridge</t>
        </r>
        <r>
          <rPr>
            <sz val="8"/>
            <rFont val="Tahoma"/>
            <family val="0"/>
          </rPr>
          <t xml:space="preserve">
</t>
        </r>
      </text>
    </comment>
    <comment ref="B14" authorId="0">
      <text>
        <r>
          <rPr>
            <b/>
            <sz val="8"/>
            <rFont val="Tahoma"/>
            <family val="0"/>
          </rPr>
          <t>accidents per year with movement codes B, C and D.  Seen LTNZ PEM A6.5.10 for equation details</t>
        </r>
        <r>
          <rPr>
            <sz val="8"/>
            <rFont val="Tahoma"/>
            <family val="0"/>
          </rPr>
          <t xml:space="preserve">
</t>
        </r>
      </text>
    </comment>
    <comment ref="B15" authorId="0">
      <text>
        <r>
          <rPr>
            <b/>
            <sz val="8"/>
            <rFont val="Tahoma"/>
            <family val="0"/>
          </rPr>
          <t>Annual average over a period of at least 5 years</t>
        </r>
      </text>
    </comment>
    <comment ref="A22" authorId="0">
      <text>
        <r>
          <rPr>
            <sz val="8"/>
            <rFont val="Tahoma"/>
            <family val="0"/>
          </rPr>
          <t xml:space="preserve">Annual Social cost savings due to delineation improvement (not PV corrected)
</t>
        </r>
      </text>
    </comment>
    <comment ref="A23" authorId="0">
      <text>
        <r>
          <rPr>
            <sz val="8"/>
            <rFont val="Tahoma"/>
            <family val="0"/>
          </rPr>
          <t>Annual improvement benefit multiplied by USPWF factor (See discounting procedures LTNZ PEM A1.4)</t>
        </r>
      </text>
    </comment>
    <comment ref="A8" authorId="0">
      <text>
        <r>
          <rPr>
            <b/>
            <sz val="8"/>
            <rFont val="Tahoma"/>
            <family val="0"/>
          </rPr>
          <t>This number is only used for calculating delineation costs and includes the length of roadway that is to be improved at each end of the bridge</t>
        </r>
        <r>
          <rPr>
            <sz val="8"/>
            <rFont val="Tahoma"/>
            <family val="0"/>
          </rPr>
          <t xml:space="preserve">
</t>
        </r>
      </text>
    </comment>
    <comment ref="E12" authorId="0">
      <text>
        <r>
          <rPr>
            <b/>
            <sz val="8"/>
            <rFont val="Tahoma"/>
            <family val="0"/>
          </rPr>
          <t>Number of years before major resealing will occur. If seal life is lower than treatment life, then seal life is used as treatment life.  Patches to seal are not considered.</t>
        </r>
        <r>
          <rPr>
            <sz val="8"/>
            <rFont val="Tahoma"/>
            <family val="0"/>
          </rPr>
          <t xml:space="preserve">
</t>
        </r>
      </text>
    </comment>
    <comment ref="E23" authorId="0">
      <text>
        <r>
          <rPr>
            <b/>
            <sz val="8"/>
            <rFont val="Tahoma"/>
            <family val="0"/>
          </rPr>
          <t>Total laid cost including TTM costs for the road length selected</t>
        </r>
        <r>
          <rPr>
            <sz val="8"/>
            <rFont val="Tahoma"/>
            <family val="0"/>
          </rPr>
          <t xml:space="preserve">
</t>
        </r>
      </text>
    </comment>
    <comment ref="E24" authorId="0">
      <text>
        <r>
          <rPr>
            <b/>
            <sz val="8"/>
            <rFont val="Tahoma"/>
            <family val="0"/>
          </rPr>
          <t>Average treatment life for medium traffic density state highway based on industry feedback. Please note that many factors can affect treatment life such as traffic volume and path, dirt,weather conditions and exposure to UV light. Click on the button to the right to change the baseline treatment life.</t>
        </r>
        <r>
          <rPr>
            <sz val="8"/>
            <rFont val="Tahoma"/>
            <family val="0"/>
          </rPr>
          <t xml:space="preserve">
</t>
        </r>
      </text>
    </comment>
    <comment ref="E25" authorId="0">
      <text>
        <r>
          <rPr>
            <b/>
            <sz val="8"/>
            <rFont val="Tahoma"/>
            <family val="0"/>
          </rPr>
          <t>Laid treatment cost divided by the product life or seal life if less than product life</t>
        </r>
        <r>
          <rPr>
            <sz val="8"/>
            <rFont val="Tahoma"/>
            <family val="0"/>
          </rPr>
          <t xml:space="preserve">
</t>
        </r>
      </text>
    </comment>
    <comment ref="E26" authorId="0">
      <text>
        <r>
          <rPr>
            <b/>
            <sz val="8"/>
            <rFont val="Tahoma"/>
            <family val="0"/>
          </rPr>
          <t>Laid treatment costs above baseline costs (not PV adjusted)</t>
        </r>
        <r>
          <rPr>
            <sz val="8"/>
            <rFont val="Tahoma"/>
            <family val="0"/>
          </rPr>
          <t xml:space="preserve">
</t>
        </r>
      </text>
    </comment>
    <comment ref="E32" authorId="0">
      <text>
        <r>
          <rPr>
            <sz val="8"/>
            <rFont val="Tahoma"/>
            <family val="0"/>
          </rPr>
          <t xml:space="preserve">No passing lines are used as delineation improvement generally occur at places where passing is discouraged
</t>
        </r>
      </text>
    </comment>
    <comment ref="E34" authorId="0">
      <text>
        <r>
          <rPr>
            <b/>
            <sz val="8"/>
            <rFont val="Tahoma"/>
            <family val="0"/>
          </rPr>
          <t>Please note that current MOTSAM state that RRPMs should be placed at 10m intervals for no overtaking lines</t>
        </r>
        <r>
          <rPr>
            <sz val="8"/>
            <rFont val="Tahoma"/>
            <family val="0"/>
          </rPr>
          <t xml:space="preserve">
</t>
        </r>
        <r>
          <rPr>
            <b/>
            <sz val="8"/>
            <rFont val="Tahoma"/>
            <family val="2"/>
          </rPr>
          <t>Also, only RRPMs with plastic faces are suitable for chipseal and are therefore used here</t>
        </r>
      </text>
    </comment>
    <comment ref="E36" authorId="0">
      <text>
        <r>
          <rPr>
            <b/>
            <sz val="8"/>
            <rFont val="Tahoma"/>
            <family val="0"/>
          </rPr>
          <t>Cost over and above Plastic RRPMs at 10m intervals as per MOTSAM</t>
        </r>
        <r>
          <rPr>
            <sz val="8"/>
            <rFont val="Tahoma"/>
            <family val="0"/>
          </rPr>
          <t xml:space="preserve">
</t>
        </r>
      </text>
    </comment>
    <comment ref="E37" authorId="0">
      <text>
        <r>
          <rPr>
            <b/>
            <sz val="8"/>
            <rFont val="Tahoma"/>
            <family val="0"/>
          </rPr>
          <t>Total laid cost including TTM costs for the road length selected</t>
        </r>
        <r>
          <rPr>
            <sz val="8"/>
            <rFont val="Tahoma"/>
            <family val="0"/>
          </rPr>
          <t xml:space="preserve">
</t>
        </r>
      </text>
    </comment>
    <comment ref="E38" authorId="0">
      <text>
        <r>
          <rPr>
            <b/>
            <sz val="8"/>
            <rFont val="Tahoma"/>
            <family val="0"/>
          </rPr>
          <t>Average treatment life for medium traffic density state highway based on industry feedback. Please note that many factors can affect treatment life such as traffic volume and path, dirt,weather conditions and exposure to UV light. Click on the button to the right to change the baseline treatment life.</t>
        </r>
        <r>
          <rPr>
            <sz val="8"/>
            <rFont val="Tahoma"/>
            <family val="0"/>
          </rPr>
          <t xml:space="preserve">
</t>
        </r>
      </text>
    </comment>
    <comment ref="E39" authorId="0">
      <text>
        <r>
          <rPr>
            <b/>
            <sz val="8"/>
            <rFont val="Tahoma"/>
            <family val="0"/>
          </rPr>
          <t>Laid treatment cost divided by the product life or seal life if less than product life</t>
        </r>
        <r>
          <rPr>
            <sz val="8"/>
            <rFont val="Tahoma"/>
            <family val="0"/>
          </rPr>
          <t xml:space="preserve">
</t>
        </r>
      </text>
    </comment>
    <comment ref="E40" authorId="0">
      <text>
        <r>
          <rPr>
            <b/>
            <sz val="8"/>
            <rFont val="Tahoma"/>
            <family val="0"/>
          </rPr>
          <t>Laid treatment costs above baseline costs (not PV adjusted)</t>
        </r>
        <r>
          <rPr>
            <sz val="8"/>
            <rFont val="Tahoma"/>
            <family val="0"/>
          </rPr>
          <t xml:space="preserve">
</t>
        </r>
      </text>
    </comment>
    <comment ref="E43" authorId="0">
      <text>
        <r>
          <rPr>
            <b/>
            <sz val="8"/>
            <rFont val="Tahoma"/>
            <family val="0"/>
          </rPr>
          <t>Total combined (edgelines and centrelines) cost of treatment</t>
        </r>
        <r>
          <rPr>
            <sz val="8"/>
            <rFont val="Tahoma"/>
            <family val="0"/>
          </rPr>
          <t xml:space="preserve">
</t>
        </r>
      </text>
    </comment>
    <comment ref="E46" authorId="0">
      <text>
        <r>
          <rPr>
            <b/>
            <sz val="8"/>
            <rFont val="Tahoma"/>
            <family val="0"/>
          </rPr>
          <t>PV improvement life benefit divided by PV improvement life cost</t>
        </r>
        <r>
          <rPr>
            <sz val="8"/>
            <rFont val="Tahoma"/>
            <family val="0"/>
          </rPr>
          <t xml:space="preserve">
</t>
        </r>
      </text>
    </comment>
    <comment ref="E44" authorId="0">
      <text>
        <r>
          <rPr>
            <b/>
            <sz val="8"/>
            <rFont val="Tahoma"/>
            <family val="0"/>
          </rPr>
          <t>Combined treatment cost - yearly baseline cost</t>
        </r>
        <r>
          <rPr>
            <sz val="8"/>
            <rFont val="Tahoma"/>
            <family val="0"/>
          </rPr>
          <t xml:space="preserve">
</t>
        </r>
      </text>
    </comment>
    <comment ref="A17" authorId="0">
      <text>
        <r>
          <rPr>
            <b/>
            <sz val="8"/>
            <rFont val="Tahoma"/>
            <family val="0"/>
          </rPr>
          <t>See MOT document: The Social Cost of Road Crashes and Injuries June 2006 update</t>
        </r>
        <r>
          <rPr>
            <sz val="8"/>
            <rFont val="Tahoma"/>
            <family val="0"/>
          </rPr>
          <t xml:space="preserve">
</t>
        </r>
      </text>
    </comment>
    <comment ref="E19" authorId="0">
      <text>
        <r>
          <rPr>
            <b/>
            <sz val="8"/>
            <rFont val="Tahoma"/>
            <family val="0"/>
          </rPr>
          <t>If a user defined yearly cost is entered it will automatically over-ride the yearly cost that is given by this tool</t>
        </r>
        <r>
          <rPr>
            <sz val="8"/>
            <rFont val="Tahoma"/>
            <family val="0"/>
          </rPr>
          <t xml:space="preserve">
</t>
        </r>
      </text>
    </comment>
    <comment ref="E33" authorId="0">
      <text>
        <r>
          <rPr>
            <b/>
            <sz val="8"/>
            <rFont val="Tahoma"/>
            <family val="0"/>
          </rPr>
          <t>If a user defined yearly cost is entered it will automatically over-ride the yearly cost that is given by this tool</t>
        </r>
        <r>
          <rPr>
            <sz val="8"/>
            <rFont val="Tahoma"/>
            <family val="0"/>
          </rPr>
          <t xml:space="preserve">
</t>
        </r>
      </text>
    </comment>
    <comment ref="E6" authorId="0">
      <text>
        <r>
          <rPr>
            <sz val="8"/>
            <rFont val="Tahoma"/>
            <family val="0"/>
          </rPr>
          <t xml:space="preserve">This is the product that would normally be used for delineation
</t>
        </r>
      </text>
    </comment>
    <comment ref="E7" authorId="0">
      <text>
        <r>
          <rPr>
            <b/>
            <sz val="8"/>
            <rFont val="Tahoma"/>
            <family val="0"/>
          </rPr>
          <t>Total laid cost of four lines (2 edge, 2 centre) including TTM costs, for the road length selected</t>
        </r>
        <r>
          <rPr>
            <sz val="8"/>
            <rFont val="Tahoma"/>
            <family val="0"/>
          </rPr>
          <t xml:space="preserve">
</t>
        </r>
      </text>
    </comment>
    <comment ref="E8" authorId="0">
      <text>
        <r>
          <rPr>
            <b/>
            <sz val="8"/>
            <rFont val="Tahoma"/>
            <family val="0"/>
          </rPr>
          <t>If a user defined yearly cost is entered it will automatically over-ride the yearly cost that is given by this tool</t>
        </r>
        <r>
          <rPr>
            <sz val="8"/>
            <rFont val="Tahoma"/>
            <family val="0"/>
          </rPr>
          <t xml:space="preserve">
</t>
        </r>
      </text>
    </comment>
    <comment ref="E9" authorId="0">
      <text>
        <r>
          <rPr>
            <sz val="8"/>
            <rFont val="Tahoma"/>
            <family val="0"/>
          </rPr>
          <t xml:space="preserve">Average treatment life for medium traffic density state highway based on industry feedback. Please note that many factors can affect treatment life such as traffic volume and path, dirt,weather conditions and exposure to UV light. Click on the button to the right to change the baseline treatment life.
</t>
        </r>
      </text>
    </comment>
    <comment ref="E10" authorId="0">
      <text>
        <r>
          <rPr>
            <sz val="8"/>
            <rFont val="Tahoma"/>
            <family val="0"/>
          </rPr>
          <t xml:space="preserve">Laid baseline cost divided by Baseline life and multiplied by road length. Note: If the Seal life (below) is less than baseline life, then Seal life is used to determine Baseline yearly cost
</t>
        </r>
      </text>
    </comment>
  </commentList>
</comments>
</file>

<file path=xl/comments5.xml><?xml version="1.0" encoding="utf-8"?>
<comments xmlns="http://schemas.openxmlformats.org/spreadsheetml/2006/main">
  <authors>
    <author>Mackie</author>
  </authors>
  <commentList>
    <comment ref="B16" authorId="0">
      <text>
        <r>
          <rPr>
            <b/>
            <sz val="8"/>
            <rFont val="Tahoma"/>
            <family val="0"/>
          </rPr>
          <t>You can enter your own number of crashes per year here. It will automatically over-ride the expected number of crashes given by this tool</t>
        </r>
        <r>
          <rPr>
            <sz val="8"/>
            <rFont val="Tahoma"/>
            <family val="0"/>
          </rPr>
          <t xml:space="preserve">
</t>
        </r>
      </text>
    </comment>
  </commentList>
</comments>
</file>

<file path=xl/sharedStrings.xml><?xml version="1.0" encoding="utf-8"?>
<sst xmlns="http://schemas.openxmlformats.org/spreadsheetml/2006/main" count="935" uniqueCount="306">
  <si>
    <t>AADT</t>
  </si>
  <si>
    <t>Lane width</t>
  </si>
  <si>
    <t>Road type</t>
  </si>
  <si>
    <t>Rural mid-block</t>
  </si>
  <si>
    <r>
      <t>A</t>
    </r>
    <r>
      <rPr>
        <vertAlign val="subscript"/>
        <sz val="14"/>
        <rFont val="Palatino"/>
        <family val="0"/>
      </rPr>
      <t>T</t>
    </r>
    <r>
      <rPr>
        <sz val="14"/>
        <rFont val="Palatino"/>
        <family val="0"/>
      </rPr>
      <t xml:space="preserve"> =       b</t>
    </r>
    <r>
      <rPr>
        <vertAlign val="subscript"/>
        <sz val="14"/>
        <rFont val="Palatino"/>
        <family val="0"/>
      </rPr>
      <t>0</t>
    </r>
    <r>
      <rPr>
        <sz val="14"/>
        <rFont val="Palatino"/>
        <family val="0"/>
      </rPr>
      <t xml:space="preserve"> X</t>
    </r>
  </si>
  <si>
    <t>where:          X is the exposure in 100 million vehicle kilometres per year</t>
  </si>
  <si>
    <r>
      <t>Coefficient b</t>
    </r>
    <r>
      <rPr>
        <vertAlign val="subscript"/>
        <sz val="12"/>
        <rFont val="Palatino"/>
        <family val="0"/>
      </rPr>
      <t>0</t>
    </r>
    <r>
      <rPr>
        <sz val="12"/>
        <rFont val="Palatino"/>
        <family val="0"/>
      </rPr>
      <t xml:space="preserve"> is provided in Table A6.5(a). The coefficient b</t>
    </r>
    <r>
      <rPr>
        <vertAlign val="subscript"/>
        <sz val="12"/>
        <rFont val="Palatino"/>
        <family val="0"/>
      </rPr>
      <t>0</t>
    </r>
    <r>
      <rPr>
        <sz val="12"/>
        <rFont val="Palatino"/>
        <family val="0"/>
      </rPr>
      <t xml:space="preserve"> is applicable to a given target seal width.</t>
    </r>
  </si>
  <si>
    <r>
      <t>Table A6.5(a)</t>
    </r>
    <r>
      <rPr>
        <sz val="11"/>
        <rFont val="Arial"/>
        <family val="2"/>
      </rPr>
      <t xml:space="preserve"> – Rural Mid-block Equation Coefficients (b</t>
    </r>
    <r>
      <rPr>
        <vertAlign val="subscript"/>
        <sz val="11"/>
        <rFont val="Arial"/>
        <family val="2"/>
      </rPr>
      <t>0</t>
    </r>
    <r>
      <rPr>
        <sz val="11"/>
        <rFont val="Arial"/>
        <family val="2"/>
      </rPr>
      <t>)</t>
    </r>
  </si>
  <si>
    <t>Base Seal Width</t>
  </si>
  <si>
    <t>(3.5 m lanes)</t>
  </si>
  <si>
    <r>
      <t>Coefficients b</t>
    </r>
    <r>
      <rPr>
        <b/>
        <vertAlign val="subscript"/>
        <sz val="12"/>
        <rFont val="Palatino"/>
        <family val="0"/>
      </rPr>
      <t>0</t>
    </r>
    <r>
      <rPr>
        <b/>
        <sz val="12"/>
        <rFont val="Palatino"/>
        <family val="0"/>
      </rPr>
      <t xml:space="preserve"> by Terrain Type</t>
    </r>
  </si>
  <si>
    <t>Level Terrain</t>
  </si>
  <si>
    <t>(0 to 3 %)</t>
  </si>
  <si>
    <t>Rolling Terrain</t>
  </si>
  <si>
    <t>(&gt;3 to 6 %)</t>
  </si>
  <si>
    <t>Mountainous Terrain</t>
  </si>
  <si>
    <t>(&gt; 6 %)</t>
  </si>
  <si>
    <t>&lt; 1,000</t>
  </si>
  <si>
    <t>7.0 m</t>
  </si>
  <si>
    <t>1,000 – 4,000</t>
  </si>
  <si>
    <t>8.5 m</t>
  </si>
  <si>
    <t>&gt; 4,000</t>
  </si>
  <si>
    <t>10.0 m</t>
  </si>
  <si>
    <t>Terrain type</t>
  </si>
  <si>
    <t>Exposure</t>
  </si>
  <si>
    <t>rolling</t>
  </si>
  <si>
    <t>Rural mid-block equation</t>
  </si>
  <si>
    <t>PRICE STRUCTURES- TERNZ PROJECT</t>
  </si>
  <si>
    <t>Rates for Level 1 and 2 Traffic Control</t>
  </si>
  <si>
    <t>Assumed reasonable quantities of work. Otherwise establishment required</t>
  </si>
  <si>
    <t>SUMMER</t>
  </si>
  <si>
    <t>PAINT</t>
  </si>
  <si>
    <t>WIDTH</t>
  </si>
  <si>
    <t>APP RATE-MICRONS</t>
  </si>
  <si>
    <t>RATE-L1(km)</t>
  </si>
  <si>
    <t>RATE-L2(km)</t>
  </si>
  <si>
    <t>WATERBORNE</t>
  </si>
  <si>
    <t>WINTER</t>
  </si>
  <si>
    <t>ALKYD</t>
  </si>
  <si>
    <t>COLD APPLIED PLASIC SPRAY</t>
  </si>
  <si>
    <t>MATERIAL</t>
  </si>
  <si>
    <t>BASCOLIN</t>
  </si>
  <si>
    <t>Basis</t>
  </si>
  <si>
    <t>COLD APPLIED STRUCTURED</t>
  </si>
  <si>
    <t>BASCOPLAST</t>
  </si>
  <si>
    <t>COLD APPLIED PROFILE 250mm centres</t>
  </si>
  <si>
    <t>N/A</t>
  </si>
  <si>
    <t>GIVEWAY/STOP</t>
  </si>
  <si>
    <t>RATE-L1(ea)</t>
  </si>
  <si>
    <t>RATE-L2(ea)</t>
  </si>
  <si>
    <t>RRPM</t>
  </si>
  <si>
    <t>TYPE</t>
  </si>
  <si>
    <t>APP RATE</t>
  </si>
  <si>
    <t>CERAMIC</t>
  </si>
  <si>
    <t>PLASTIC</t>
  </si>
  <si>
    <t>GLASS</t>
  </si>
  <si>
    <t>Delineation treatment costs</t>
  </si>
  <si>
    <t>Edgelines</t>
  </si>
  <si>
    <t>On busy areas doing this twice per year</t>
  </si>
  <si>
    <t>Three year warranty starting to emerge with this (try to get at least 5 years out of it)</t>
  </si>
  <si>
    <t>Paint</t>
  </si>
  <si>
    <t>Waterborne</t>
  </si>
  <si>
    <t>Alkyd</t>
  </si>
  <si>
    <t>Product</t>
  </si>
  <si>
    <t>Width</t>
  </si>
  <si>
    <t>Type</t>
  </si>
  <si>
    <t>Structured</t>
  </si>
  <si>
    <t>Profiled</t>
  </si>
  <si>
    <t>Cost ($ per km)</t>
  </si>
  <si>
    <t>Transit TTM level</t>
  </si>
  <si>
    <t>Code</t>
  </si>
  <si>
    <t>code</t>
  </si>
  <si>
    <t>Combo box inputs</t>
  </si>
  <si>
    <t>CAP</t>
  </si>
  <si>
    <t>Terrain</t>
  </si>
  <si>
    <t xml:space="preserve">level </t>
  </si>
  <si>
    <t>mount</t>
  </si>
  <si>
    <t>terrain</t>
  </si>
  <si>
    <t>Low</t>
  </si>
  <si>
    <t>Medium</t>
  </si>
  <si>
    <t>High</t>
  </si>
  <si>
    <t>LL</t>
  </si>
  <si>
    <t>ML</t>
  </si>
  <si>
    <t>HL</t>
  </si>
  <si>
    <t>LR</t>
  </si>
  <si>
    <t>MR</t>
  </si>
  <si>
    <t>HR</t>
  </si>
  <si>
    <t>LM</t>
  </si>
  <si>
    <t>MM</t>
  </si>
  <si>
    <t>HM</t>
  </si>
  <si>
    <t>Level</t>
  </si>
  <si>
    <t>Rolling</t>
  </si>
  <si>
    <t>Mountainous</t>
  </si>
  <si>
    <t>Coefficient B0</t>
  </si>
  <si>
    <t>B0 adjustment coefficient</t>
  </si>
  <si>
    <t>Seal Shoulder Width</t>
  </si>
  <si>
    <t>Lane width (m)</t>
  </si>
  <si>
    <t>Seal shoulder width (m)</t>
  </si>
  <si>
    <t>Shoulder width</t>
  </si>
  <si>
    <r>
      <t>Table A6.6</t>
    </r>
    <r>
      <rPr>
        <sz val="12"/>
        <rFont val="Palatino"/>
        <family val="0"/>
      </rPr>
      <t xml:space="preserve"> – Cross-section Adjustment Factors</t>
    </r>
  </si>
  <si>
    <t>Adjustment Factors for Traffic Flows &lt; 1,000 vpd</t>
  </si>
  <si>
    <t>Lane Width</t>
  </si>
  <si>
    <t>2.75 m</t>
  </si>
  <si>
    <t>3.00 m</t>
  </si>
  <si>
    <t>3.25 m</t>
  </si>
  <si>
    <t>3.50 m</t>
  </si>
  <si>
    <t>3.60 m</t>
  </si>
  <si>
    <t>0 m</t>
  </si>
  <si>
    <t>0.25 m</t>
  </si>
  <si>
    <t>0.50 m</t>
  </si>
  <si>
    <t>0.75 m</t>
  </si>
  <si>
    <t>1.00 m</t>
  </si>
  <si>
    <t>1.50 m</t>
  </si>
  <si>
    <t>2.00 m</t>
  </si>
  <si>
    <t>Adjustment Factors for Traffic Flows 1,000 TO 4,000 vpd</t>
  </si>
  <si>
    <t>Adjustment Factors for Traffic Flows &gt; 4,000 vpd</t>
  </si>
  <si>
    <t>lane</t>
  </si>
  <si>
    <t>seal</t>
  </si>
  <si>
    <t>B0 adjustment</t>
  </si>
  <si>
    <t>Med</t>
  </si>
  <si>
    <t>Bo adjustment code</t>
  </si>
  <si>
    <t>Bo adjustment factor</t>
  </si>
  <si>
    <t>Cost per km (two edgelines)</t>
  </si>
  <si>
    <t>Width (mm)</t>
  </si>
  <si>
    <t>Centrelines</t>
  </si>
  <si>
    <t>Yes</t>
  </si>
  <si>
    <t>No</t>
  </si>
  <si>
    <t>Treatment crash reduction</t>
  </si>
  <si>
    <t>Treatment crash reduction (%)</t>
  </si>
  <si>
    <t>Cost per km (double yellow)</t>
  </si>
  <si>
    <t>User defined delineation costs</t>
  </si>
  <si>
    <t xml:space="preserve">Rural injury crashes average cost </t>
  </si>
  <si>
    <t>Crash costs and benefits of treatment</t>
  </si>
  <si>
    <r>
      <t>Or</t>
    </r>
    <r>
      <rPr>
        <sz val="10"/>
        <rFont val="Arial"/>
        <family val="0"/>
      </rPr>
      <t xml:space="preserve"> user defined edgeline cost</t>
    </r>
  </si>
  <si>
    <t>edgelines switch</t>
  </si>
  <si>
    <t>centrelines switch</t>
  </si>
  <si>
    <t>Yes/no control</t>
  </si>
  <si>
    <t>Benefit / Cost ratio</t>
  </si>
  <si>
    <t>Edgeline treatment</t>
  </si>
  <si>
    <t>Centreline treatment</t>
  </si>
  <si>
    <t>Expected number of injury crashes per year</t>
  </si>
  <si>
    <r>
      <t>OR</t>
    </r>
    <r>
      <rPr>
        <sz val="10"/>
        <rFont val="Arial"/>
        <family val="0"/>
      </rPr>
      <t xml:space="preserve"> user defined centreline cost</t>
    </r>
  </si>
  <si>
    <r>
      <t>OR</t>
    </r>
    <r>
      <rPr>
        <sz val="10"/>
        <rFont val="Arial"/>
        <family val="0"/>
      </rPr>
      <t xml:space="preserve"> Actual number of injury crashes per year</t>
    </r>
  </si>
  <si>
    <t>Crashes per year</t>
  </si>
  <si>
    <t>Baseline product</t>
  </si>
  <si>
    <t>Baseline TTM level</t>
  </si>
  <si>
    <t>Treatment Product</t>
  </si>
  <si>
    <t>Laid treatment cost</t>
  </si>
  <si>
    <t>baseline and treatment product life</t>
  </si>
  <si>
    <t>Treatment yearly cost</t>
  </si>
  <si>
    <t>Baseline code</t>
  </si>
  <si>
    <t>Improvement yearly social cost</t>
  </si>
  <si>
    <t>Seal life at time of treatment</t>
  </si>
  <si>
    <t>years</t>
  </si>
  <si>
    <t>Product treatment life (years)</t>
  </si>
  <si>
    <t>RURAL MID-BLOCK</t>
  </si>
  <si>
    <t>RURAL CURVE</t>
  </si>
  <si>
    <t>Exposure (in each direction)</t>
  </si>
  <si>
    <t>Expected left turn injury accidents per year</t>
  </si>
  <si>
    <t>Expected right turn injury accidents per year</t>
  </si>
  <si>
    <t>Road factors</t>
  </si>
  <si>
    <t>Expected accidents per year in both directions</t>
  </si>
  <si>
    <t>RURAL BRIDGE</t>
  </si>
  <si>
    <t>Left turn design speed (km/hr)</t>
  </si>
  <si>
    <t>Left turn approach speed (km/hr)</t>
  </si>
  <si>
    <t>Right turn design speed (km/hr)</t>
  </si>
  <si>
    <t>Right turn approach speed (km/hr)</t>
  </si>
  <si>
    <t>Rural curves</t>
  </si>
  <si>
    <t>Bridge seal width</t>
  </si>
  <si>
    <t>Rural Bridges</t>
  </si>
  <si>
    <t>C</t>
  </si>
  <si>
    <t>ID</t>
  </si>
  <si>
    <t>value</t>
  </si>
  <si>
    <t>Two lane approach seal width</t>
  </si>
  <si>
    <t>RW</t>
  </si>
  <si>
    <t>crashes per year</t>
  </si>
  <si>
    <t>S Left</t>
  </si>
  <si>
    <t>S Right</t>
  </si>
  <si>
    <t>minimum 0 switch</t>
  </si>
  <si>
    <t>Baseline treatment yearly social cost</t>
  </si>
  <si>
    <t>TTM level</t>
  </si>
  <si>
    <t>Baseline</t>
  </si>
  <si>
    <t>Combined costs</t>
  </si>
  <si>
    <t>Combined treatment life</t>
  </si>
  <si>
    <t>PV improvement benefit factor</t>
  </si>
  <si>
    <t>Bridge seal width (m)</t>
  </si>
  <si>
    <t>Road length (km)</t>
  </si>
  <si>
    <t>Additional average annual benefits</t>
  </si>
  <si>
    <t>Net Present Value of benefits</t>
  </si>
  <si>
    <t>Treatment cost per year</t>
  </si>
  <si>
    <t>Additional average annual cost</t>
  </si>
  <si>
    <t>Total treatment cost</t>
  </si>
  <si>
    <t>Curve length (km)</t>
  </si>
  <si>
    <t>code(RC)</t>
  </si>
  <si>
    <t>code(RB)</t>
  </si>
  <si>
    <t>code(MB)</t>
  </si>
  <si>
    <t>Thermo</t>
  </si>
  <si>
    <t>Tape</t>
  </si>
  <si>
    <t>Embossed</t>
  </si>
  <si>
    <t>Flat</t>
  </si>
  <si>
    <t>Patterned</t>
  </si>
  <si>
    <t>Edgeline</t>
  </si>
  <si>
    <t>Centreline</t>
  </si>
  <si>
    <t>Treatment life (years)</t>
  </si>
  <si>
    <t>cost</t>
  </si>
  <si>
    <t>life</t>
  </si>
  <si>
    <t>Define a New Product</t>
  </si>
  <si>
    <t>Product Type</t>
  </si>
  <si>
    <t>100mm, TTM level 1</t>
  </si>
  <si>
    <t>100mm, TTM level 2</t>
  </si>
  <si>
    <t>150mm, TTM level 1</t>
  </si>
  <si>
    <t>150mm, TTM level 2</t>
  </si>
  <si>
    <t>200mm, TTM level 1</t>
  </si>
  <si>
    <t>200mm, TTM level 2</t>
  </si>
  <si>
    <t>-</t>
  </si>
  <si>
    <t>New Product</t>
  </si>
  <si>
    <t>Cost Type ID</t>
  </si>
  <si>
    <t>Improve Centrelines?</t>
  </si>
  <si>
    <t>Improve Edgelines?</t>
  </si>
  <si>
    <t>The costs have come from our last Pavement marking contract which I have ajusted up to what could now be market rates.</t>
  </si>
  <si>
    <t>All rates are per lm.</t>
  </si>
  <si>
    <t>100mm  center line/lane line  $1.20</t>
  </si>
  <si>
    <t>100mm solid white                     $1.20</t>
  </si>
  <si>
    <t>150mm center line/lane line   $1.30</t>
  </si>
  <si>
    <t>200mm center line/lane line   $1.60</t>
  </si>
  <si>
    <t>100mm edge line                       $1.10</t>
  </si>
  <si>
    <t>200mm edge line                       $1.90</t>
  </si>
  <si>
    <t>100mm Yellow no overtaking $1.30</t>
  </si>
  <si>
    <t>100mm rainline                             $3.75</t>
  </si>
  <si>
    <t>200mm vibra line yellow           $8.50</t>
  </si>
  <si>
    <t>150mm rainline                            $5.60</t>
  </si>
  <si>
    <t>150mm profiled line                   $6.30</t>
  </si>
  <si>
    <t>All rates include traffic control. Most of our traffic control is on Level 2/3 Roads</t>
  </si>
  <si>
    <t>THERMO PRICING</t>
  </si>
  <si>
    <t>Per km</t>
  </si>
  <si>
    <t>$$$ per metre</t>
  </si>
  <si>
    <t>Midblock</t>
  </si>
  <si>
    <t>Curve</t>
  </si>
  <si>
    <t>Bridge</t>
  </si>
  <si>
    <t>THERMOPLASTIC PROFILE 250mm centres</t>
  </si>
  <si>
    <t>KESTREL</t>
  </si>
  <si>
    <t>THERMOPLASTIC SPRAY</t>
  </si>
  <si>
    <t>3M STAMARK TAPE</t>
  </si>
  <si>
    <t>STAMARK</t>
  </si>
  <si>
    <t>RRPM spacing</t>
  </si>
  <si>
    <t>RRPMs</t>
  </si>
  <si>
    <t>Ceramic</t>
  </si>
  <si>
    <t>Plastic</t>
  </si>
  <si>
    <t>Glass</t>
  </si>
  <si>
    <t>Spacing</t>
  </si>
  <si>
    <t>Edgline switch</t>
  </si>
  <si>
    <t>Centreline switch</t>
  </si>
  <si>
    <t>Do you want to add RPMs?</t>
  </si>
  <si>
    <t>RPM spacing</t>
  </si>
  <si>
    <t>Line treatment costs</t>
  </si>
  <si>
    <t>RRPM costs</t>
  </si>
  <si>
    <t>Unit cost</t>
  </si>
  <si>
    <t>Per km cost</t>
  </si>
  <si>
    <t>RPM Costs</t>
  </si>
  <si>
    <t>RRPM Costs</t>
  </si>
  <si>
    <t>TTM</t>
  </si>
  <si>
    <t>Plastic RRPM</t>
  </si>
  <si>
    <t>Ceramic RPM</t>
  </si>
  <si>
    <t>Do you want to add extra RRPMs?</t>
  </si>
  <si>
    <t>Bridge approaches for improvement (km)</t>
  </si>
  <si>
    <t>Estimated number of curves</t>
  </si>
  <si>
    <t>Number of bridges</t>
  </si>
  <si>
    <t>Route Benefits</t>
  </si>
  <si>
    <t>Route Costs</t>
  </si>
  <si>
    <t>Overall benefit / cost for Route</t>
  </si>
  <si>
    <t>Total distance (km) of Route to be treated</t>
  </si>
  <si>
    <t>Benefits</t>
  </si>
  <si>
    <t>Mid-block distance</t>
  </si>
  <si>
    <t xml:space="preserve"> Approach total sealed lane width (m)</t>
  </si>
  <si>
    <t>This tool can be used to estmate the benefit / cost ratio for treating an entire route. The Mid-block, Curve and Bridge parameters that have been defined in their respective worksheets should represent the average for those elements in the route</t>
  </si>
  <si>
    <t>Expd number crashes on route per year</t>
  </si>
  <si>
    <t>Net treatment lifetime cost</t>
  </si>
  <si>
    <t>Route builder</t>
  </si>
  <si>
    <t>Manually inputted # crashes</t>
  </si>
  <si>
    <t>Crashes pr/yr</t>
  </si>
  <si>
    <t>Reduction</t>
  </si>
  <si>
    <t>Baseline life</t>
  </si>
  <si>
    <t>Wa1</t>
  </si>
  <si>
    <t>Wa2</t>
  </si>
  <si>
    <t>Al1</t>
  </si>
  <si>
    <t>Al2</t>
  </si>
  <si>
    <t>CA1</t>
  </si>
  <si>
    <t>CA2</t>
  </si>
  <si>
    <t>Th1</t>
  </si>
  <si>
    <t>Th2</t>
  </si>
  <si>
    <r>
      <t>OR</t>
    </r>
    <r>
      <rPr>
        <sz val="10"/>
        <rFont val="Arial"/>
        <family val="0"/>
      </rPr>
      <t xml:space="preserve"> user defined laid cost </t>
    </r>
  </si>
  <si>
    <t>Baseline product life (years)</t>
  </si>
  <si>
    <t>Laid baseline cost per km</t>
  </si>
  <si>
    <t>Baseline road length yearly cost</t>
  </si>
  <si>
    <r>
      <t xml:space="preserve">Product cost </t>
    </r>
    <r>
      <rPr>
        <sz val="10"/>
        <rFont val="Arial"/>
        <family val="2"/>
      </rPr>
      <t>(per km single line, numbers only)</t>
    </r>
  </si>
  <si>
    <r>
      <t xml:space="preserve">Product life </t>
    </r>
    <r>
      <rPr>
        <sz val="9"/>
        <rFont val="Arial"/>
        <family val="2"/>
      </rPr>
      <t>(years)</t>
    </r>
  </si>
  <si>
    <t>Fill in available options only</t>
  </si>
  <si>
    <t>MIDBLOCK</t>
  </si>
  <si>
    <t>CURVE</t>
  </si>
  <si>
    <t>BRIDGE</t>
  </si>
  <si>
    <t>MB</t>
  </si>
  <si>
    <t>RC</t>
  </si>
  <si>
    <t>B</t>
  </si>
  <si>
    <t>Delineation Improvement Cost Management Tool (Version 1.0)</t>
  </si>
  <si>
    <t>Delineation Improvement Cost Management Tool (Draft 1.0)</t>
  </si>
  <si>
    <t>OR actual number of injury crashes on route p/yr</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</si>
</sst>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quot;$&quot;#,##0.00"/>
    <numFmt numFmtId="176" formatCode="0.0"/>
    <numFmt numFmtId="177" formatCode="0.000"/>
    <numFmt numFmtId="178" formatCode="_-&quot;$&quot;* #,##0.0_-;\-&quot;$&quot;* #,##0.0_-;_-&quot;$&quot;* &quot;-&quot;??_-;_-@_-"/>
    <numFmt numFmtId="179" formatCode="_-&quot;$&quot;* #,##0_-;\-&quot;$&quot;* #,##0_-;_-&quot;$&quot;* &quot;-&quot;??_-;_-@_-"/>
    <numFmt numFmtId="180" formatCode="#,##0.00_ ;\-#,##0.00\ "/>
    <numFmt numFmtId="181" formatCode="#,##0.0_ ;\-#,##0.0\ "/>
    <numFmt numFmtId="182" formatCode="0.00000"/>
    <numFmt numFmtId="183" formatCode="0.0000"/>
    <numFmt numFmtId="184" formatCode="_-* #,##0.0_-;\-* #,##0.0_-;_-* &quot;-&quot;?_-;_-@_-"/>
    <numFmt numFmtId="185" formatCode="&quot;$&quot;#,##0"/>
    <numFmt numFmtId="186" formatCode="#,##0_ ;\-#,##0\ "/>
    <numFmt numFmtId="187" formatCode="0.0000000"/>
    <numFmt numFmtId="188" formatCode="0.000000"/>
    <numFmt numFmtId="189" formatCode="&quot;$&quot;#,##0.0;[Red]\-&quot;$&quot;#,##0.0"/>
    <numFmt numFmtId="190" formatCode="&quot;$&quot;#,##0.000;[Red]\-&quot;$&quot;#,##0.000"/>
    <numFmt numFmtId="191" formatCode="0.00000000"/>
    <numFmt numFmtId="192" formatCode="#,##0.0"/>
    <numFmt numFmtId="193" formatCode="#,##0.00_ ;[Red]\-#,##0.00\ "/>
    <numFmt numFmtId="194" formatCode="#,##0.000_ ;[Red]\-#,##0.000\ "/>
    <numFmt numFmtId="195" formatCode="#,##0.0_ ;[Red]\-#,##0.0\ "/>
  </numFmts>
  <fonts count="75">
    <font>
      <sz val="10"/>
      <name val="Arial"/>
      <family val="0"/>
    </font>
    <font>
      <b/>
      <sz val="10"/>
      <name val="Arial"/>
      <family val="2"/>
    </font>
    <font>
      <sz val="8"/>
      <name val="Tahoma"/>
      <family val="0"/>
    </font>
    <font>
      <b/>
      <sz val="8"/>
      <name val="Tahoma"/>
      <family val="0"/>
    </font>
    <font>
      <sz val="14"/>
      <name val="Arial"/>
      <family val="2"/>
    </font>
    <font>
      <sz val="12"/>
      <name val="Palatino"/>
      <family val="0"/>
    </font>
    <font>
      <sz val="14"/>
      <name val="Palatino"/>
      <family val="0"/>
    </font>
    <font>
      <vertAlign val="subscript"/>
      <sz val="14"/>
      <name val="Palatino"/>
      <family val="0"/>
    </font>
    <font>
      <vertAlign val="subscript"/>
      <sz val="12"/>
      <name val="Palatino"/>
      <family val="0"/>
    </font>
    <font>
      <sz val="11"/>
      <name val="Arial"/>
      <family val="2"/>
    </font>
    <font>
      <b/>
      <sz val="11"/>
      <name val="Arial"/>
      <family val="2"/>
    </font>
    <font>
      <vertAlign val="subscript"/>
      <sz val="11"/>
      <name val="Arial"/>
      <family val="2"/>
    </font>
    <font>
      <b/>
      <sz val="12"/>
      <name val="Palatino"/>
      <family val="0"/>
    </font>
    <font>
      <b/>
      <vertAlign val="subscript"/>
      <sz val="12"/>
      <name val="Palatino"/>
      <family val="0"/>
    </font>
    <font>
      <u val="single"/>
      <sz val="10"/>
      <color indexed="12"/>
      <name val="Arial"/>
      <family val="0"/>
    </font>
    <font>
      <u val="single"/>
      <sz val="10"/>
      <color indexed="36"/>
      <name val="Arial"/>
      <family val="0"/>
    </font>
    <font>
      <b/>
      <sz val="12"/>
      <name val="Arial"/>
      <family val="2"/>
    </font>
    <font>
      <b/>
      <sz val="11"/>
      <name val="Palatino"/>
      <family val="0"/>
    </font>
    <font>
      <sz val="11"/>
      <name val="Palatino"/>
      <family val="0"/>
    </font>
    <font>
      <b/>
      <sz val="14"/>
      <name val="Arial"/>
      <family val="2"/>
    </font>
    <font>
      <b/>
      <sz val="20"/>
      <name val="Arial"/>
      <family val="2"/>
    </font>
    <font>
      <sz val="9"/>
      <name val="Arial"/>
      <family val="2"/>
    </font>
    <font>
      <b/>
      <sz val="16"/>
      <name val="Arial"/>
      <family val="2"/>
    </font>
    <font>
      <sz val="12"/>
      <name val="Times New Roman"/>
      <family val="1"/>
    </font>
    <font>
      <b/>
      <sz val="9"/>
      <name val="Arial"/>
      <family val="2"/>
    </font>
    <font>
      <sz val="10"/>
      <name val="Sans-serif"/>
      <family val="0"/>
    </font>
    <font>
      <sz val="10"/>
      <color indexed="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0"/>
    </font>
    <font>
      <i/>
      <sz val="11"/>
      <color indexed="8"/>
      <name val="Arial"/>
      <family val="0"/>
    </font>
    <font>
      <b/>
      <sz val="11"/>
      <color indexed="8"/>
      <name val="Arial"/>
      <family val="0"/>
    </font>
    <font>
      <sz val="16"/>
      <color indexed="8"/>
      <name val="Arial"/>
      <family val="0"/>
    </font>
    <font>
      <b/>
      <sz val="8"/>
      <color indexed="8"/>
      <name val="Arial"/>
      <family val="0"/>
    </font>
    <font>
      <sz val="8"/>
      <color indexed="8"/>
      <name val="Arial"/>
      <family val="0"/>
    </font>
    <font>
      <sz val="12"/>
      <color indexed="8"/>
      <name val="Arial"/>
      <family val="0"/>
    </font>
    <font>
      <b/>
      <sz val="12"/>
      <color indexed="8"/>
      <name val="Arial"/>
      <family val="0"/>
    </font>
    <font>
      <b/>
      <sz val="16"/>
      <color indexed="8"/>
      <name val="Arial"/>
      <family val="0"/>
    </font>
    <font>
      <b/>
      <sz val="14"/>
      <color indexed="8"/>
      <name val="Calibri"/>
      <family val="0"/>
    </font>
    <font>
      <sz val="12"/>
      <color indexed="8"/>
      <name val="Calibri"/>
      <family val="0"/>
    </font>
    <font>
      <b/>
      <sz val="10"/>
      <color indexed="9"/>
      <name val="Arial"/>
      <family val="0"/>
    </font>
    <font>
      <b/>
      <sz val="2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47"/>
        <bgColor indexed="64"/>
      </patternFill>
    </fill>
    <fill>
      <patternFill patternType="solid">
        <fgColor indexed="46"/>
        <bgColor indexed="64"/>
      </patternFill>
    </fill>
    <fill>
      <patternFill patternType="solid">
        <fgColor indexed="11"/>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41"/>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double"/>
      <top>
        <color indexed="63"/>
      </top>
      <bottom>
        <color indexed="63"/>
      </bottom>
    </border>
    <border>
      <left>
        <color indexed="63"/>
      </left>
      <right style="double"/>
      <top>
        <color indexed="63"/>
      </top>
      <bottom style="thin"/>
    </border>
    <border>
      <left style="double"/>
      <right style="thin"/>
      <top>
        <color indexed="63"/>
      </top>
      <bottom style="thin"/>
    </border>
    <border>
      <left style="double"/>
      <right style="thin"/>
      <top>
        <color indexed="63"/>
      </top>
      <bottom style="double"/>
    </border>
    <border>
      <left>
        <color indexed="63"/>
      </left>
      <right style="thin"/>
      <top>
        <color indexed="63"/>
      </top>
      <bottom style="double"/>
    </border>
    <border>
      <left>
        <color indexed="63"/>
      </left>
      <right style="double"/>
      <top>
        <color indexed="63"/>
      </top>
      <bottom style="double"/>
    </border>
    <border>
      <left style="double"/>
      <right style="thin"/>
      <top>
        <color indexed="63"/>
      </top>
      <bottom style="thick"/>
    </border>
    <border>
      <left>
        <color indexed="63"/>
      </left>
      <right style="thin"/>
      <top>
        <color indexed="63"/>
      </top>
      <bottom style="thick"/>
    </border>
    <border>
      <left>
        <color indexed="63"/>
      </left>
      <right style="double"/>
      <top>
        <color indexed="63"/>
      </top>
      <bottom style="thick"/>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style="medium"/>
      <top style="medium"/>
      <bottom style="medium"/>
    </border>
    <border>
      <left style="thin"/>
      <right style="medium"/>
      <top style="medium"/>
      <bottom style="thin"/>
    </border>
    <border>
      <left style="thin"/>
      <right style="medium"/>
      <top style="thin"/>
      <bottom style="thin"/>
    </border>
    <border>
      <left style="thin"/>
      <right style="thin"/>
      <top style="medium"/>
      <bottom style="medium"/>
    </border>
    <border>
      <left style="medium"/>
      <right style="medium"/>
      <top style="medium"/>
      <bottom style="mediu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medium"/>
      <right style="thin"/>
      <top>
        <color indexed="63"/>
      </top>
      <bottom style="medium"/>
    </border>
    <border>
      <left style="thin"/>
      <right>
        <color indexed="63"/>
      </right>
      <top>
        <color indexed="63"/>
      </top>
      <bottom style="medium"/>
    </border>
    <border>
      <left style="double"/>
      <right style="thin"/>
      <top style="double"/>
      <bottom>
        <color indexed="63"/>
      </bottom>
    </border>
    <border>
      <left style="double"/>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style="double"/>
      <bottom style="thin"/>
    </border>
    <border>
      <left style="double"/>
      <right style="thin"/>
      <top style="thin"/>
      <bottom>
        <color indexed="63"/>
      </bottom>
    </border>
    <border>
      <left>
        <color indexed="63"/>
      </left>
      <right style="double"/>
      <top style="thin"/>
      <bottom style="thin"/>
    </border>
    <border>
      <left style="double"/>
      <right>
        <color indexed="63"/>
      </right>
      <top style="thick"/>
      <bottom style="thin"/>
    </border>
    <border>
      <left>
        <color indexed="63"/>
      </left>
      <right>
        <color indexed="63"/>
      </right>
      <top style="thick"/>
      <bottom style="thin"/>
    </border>
    <border>
      <left>
        <color indexed="63"/>
      </left>
      <right style="double"/>
      <top style="thick"/>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0" borderId="0" applyNumberFormat="0" applyFill="0" applyBorder="0" applyAlignment="0" applyProtection="0"/>
    <xf numFmtId="0" fontId="15"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14"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78">
    <xf numFmtId="0" fontId="0" fillId="0" borderId="0" xfId="0" applyAlignment="1">
      <alignment/>
    </xf>
    <xf numFmtId="0" fontId="1" fillId="0" borderId="0" xfId="0" applyFont="1" applyAlignment="1">
      <alignment/>
    </xf>
    <xf numFmtId="0" fontId="0" fillId="0" borderId="0" xfId="0"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Fill="1" applyBorder="1" applyAlignment="1">
      <alignment/>
    </xf>
    <xf numFmtId="0" fontId="1" fillId="0" borderId="0" xfId="0" applyFont="1" applyFill="1" applyBorder="1" applyAlignment="1">
      <alignment/>
    </xf>
    <xf numFmtId="0" fontId="0" fillId="0" borderId="0" xfId="0" applyAlignment="1">
      <alignment horizontal="center"/>
    </xf>
    <xf numFmtId="0" fontId="6" fillId="0" borderId="0" xfId="0" applyFont="1" applyAlignment="1">
      <alignment/>
    </xf>
    <xf numFmtId="0" fontId="5" fillId="0" borderId="0" xfId="0" applyFont="1" applyAlignment="1">
      <alignment/>
    </xf>
    <xf numFmtId="0" fontId="5" fillId="0" borderId="0" xfId="0" applyFont="1" applyAlignment="1">
      <alignment horizontal="left" indent="12"/>
    </xf>
    <xf numFmtId="0" fontId="10" fillId="0" borderId="0" xfId="0" applyFont="1" applyAlignment="1">
      <alignment horizontal="left" indent="4"/>
    </xf>
    <xf numFmtId="0" fontId="12" fillId="0" borderId="12" xfId="0" applyFont="1" applyBorder="1" applyAlignment="1">
      <alignment horizontal="center" wrapText="1"/>
    </xf>
    <xf numFmtId="0" fontId="12" fillId="0" borderId="13" xfId="0" applyFont="1" applyBorder="1" applyAlignment="1">
      <alignment horizontal="center" wrapText="1"/>
    </xf>
    <xf numFmtId="0" fontId="0" fillId="0" borderId="14" xfId="0" applyBorder="1" applyAlignment="1">
      <alignment wrapText="1"/>
    </xf>
    <xf numFmtId="0" fontId="12" fillId="0" borderId="13" xfId="0" applyFont="1" applyBorder="1" applyAlignment="1">
      <alignment horizontal="center" vertical="top" wrapText="1"/>
    </xf>
    <xf numFmtId="0" fontId="12" fillId="0" borderId="14" xfId="0" applyFont="1" applyBorder="1" applyAlignment="1">
      <alignment horizontal="center" vertical="top" wrapText="1"/>
    </xf>
    <xf numFmtId="0" fontId="12" fillId="0" borderId="15" xfId="0" applyFont="1" applyBorder="1" applyAlignment="1">
      <alignment horizontal="center" vertical="top" wrapText="1"/>
    </xf>
    <xf numFmtId="0" fontId="12" fillId="0" borderId="16" xfId="0" applyFont="1" applyBorder="1" applyAlignment="1">
      <alignment horizontal="center" vertical="top" wrapText="1"/>
    </xf>
    <xf numFmtId="0" fontId="5" fillId="0" borderId="17" xfId="0" applyFont="1" applyBorder="1" applyAlignment="1">
      <alignment horizontal="center" vertical="top" wrapText="1"/>
    </xf>
    <xf numFmtId="0" fontId="5" fillId="0" borderId="14" xfId="0" applyFont="1" applyBorder="1" applyAlignment="1">
      <alignment horizontal="center" vertical="top" wrapText="1"/>
    </xf>
    <xf numFmtId="0" fontId="5" fillId="0" borderId="16" xfId="0" applyFont="1" applyBorder="1" applyAlignment="1">
      <alignment horizontal="center" vertical="top" wrapText="1"/>
    </xf>
    <xf numFmtId="0" fontId="5" fillId="0" borderId="18" xfId="0" applyFont="1" applyBorder="1" applyAlignment="1">
      <alignment horizontal="center" vertical="top" wrapText="1"/>
    </xf>
    <xf numFmtId="0" fontId="5" fillId="0" borderId="19" xfId="0" applyFont="1" applyBorder="1" applyAlignment="1">
      <alignment horizontal="center" vertical="top" wrapText="1"/>
    </xf>
    <xf numFmtId="0" fontId="5" fillId="0" borderId="20" xfId="0" applyFont="1" applyBorder="1" applyAlignment="1">
      <alignment horizontal="center" vertical="top" wrapText="1"/>
    </xf>
    <xf numFmtId="0" fontId="5" fillId="0" borderId="0" xfId="0" applyFont="1" applyBorder="1" applyAlignment="1">
      <alignment horizontal="center" vertical="top" wrapText="1"/>
    </xf>
    <xf numFmtId="0" fontId="16" fillId="0" borderId="0" xfId="0" applyFont="1" applyAlignment="1">
      <alignment/>
    </xf>
    <xf numFmtId="0" fontId="0" fillId="0" borderId="10" xfId="0" applyBorder="1" applyAlignment="1">
      <alignment horizontal="center"/>
    </xf>
    <xf numFmtId="175" fontId="0" fillId="0" borderId="10" xfId="0" applyNumberFormat="1" applyBorder="1" applyAlignment="1">
      <alignment horizontal="center"/>
    </xf>
    <xf numFmtId="0" fontId="0" fillId="0" borderId="11" xfId="0" applyFill="1" applyBorder="1" applyAlignment="1">
      <alignment horizontal="center"/>
    </xf>
    <xf numFmtId="0" fontId="0" fillId="0" borderId="0" xfId="0" applyFont="1" applyAlignment="1">
      <alignment/>
    </xf>
    <xf numFmtId="0" fontId="16" fillId="0" borderId="0" xfId="0" applyFont="1" applyFill="1" applyBorder="1" applyAlignment="1">
      <alignment horizontal="center" vertical="top" wrapText="1"/>
    </xf>
    <xf numFmtId="0" fontId="12" fillId="0" borderId="0" xfId="0" applyFont="1" applyAlignment="1">
      <alignment/>
    </xf>
    <xf numFmtId="0" fontId="17" fillId="0" borderId="14" xfId="0" applyFont="1" applyBorder="1" applyAlignment="1">
      <alignment horizontal="center" vertical="top" wrapText="1"/>
    </xf>
    <xf numFmtId="0" fontId="17" fillId="0" borderId="16" xfId="0" applyFont="1" applyBorder="1" applyAlignment="1">
      <alignment horizontal="center" vertical="top" wrapText="1"/>
    </xf>
    <xf numFmtId="0" fontId="18" fillId="0" borderId="17" xfId="0" applyFont="1" applyBorder="1" applyAlignment="1">
      <alignment horizontal="right" vertical="top" wrapText="1"/>
    </xf>
    <xf numFmtId="0" fontId="18" fillId="0" borderId="14" xfId="0" applyFont="1" applyBorder="1" applyAlignment="1">
      <alignment horizontal="center" vertical="top" wrapText="1"/>
    </xf>
    <xf numFmtId="0" fontId="18" fillId="0" borderId="16" xfId="0" applyFont="1" applyBorder="1" applyAlignment="1">
      <alignment horizontal="center" vertical="top" wrapText="1"/>
    </xf>
    <xf numFmtId="0" fontId="18" fillId="0" borderId="21" xfId="0" applyFont="1" applyBorder="1" applyAlignment="1">
      <alignment horizontal="right" vertical="top" wrapText="1"/>
    </xf>
    <xf numFmtId="0" fontId="18" fillId="0" borderId="22" xfId="0" applyFont="1" applyBorder="1" applyAlignment="1">
      <alignment horizontal="center" vertical="top" wrapText="1"/>
    </xf>
    <xf numFmtId="0" fontId="18" fillId="0" borderId="23" xfId="0" applyFont="1" applyBorder="1" applyAlignment="1">
      <alignment horizontal="center" vertical="top" wrapText="1"/>
    </xf>
    <xf numFmtId="0" fontId="18" fillId="0" borderId="18" xfId="0" applyFont="1" applyBorder="1" applyAlignment="1">
      <alignment horizontal="right" vertical="top" wrapText="1"/>
    </xf>
    <xf numFmtId="0" fontId="18" fillId="0" borderId="19" xfId="0" applyFont="1" applyBorder="1" applyAlignment="1">
      <alignment horizontal="center" vertical="top" wrapText="1"/>
    </xf>
    <xf numFmtId="0" fontId="18" fillId="0" borderId="20" xfId="0" applyFont="1" applyBorder="1" applyAlignment="1">
      <alignment horizontal="center" vertical="top" wrapText="1"/>
    </xf>
    <xf numFmtId="2" fontId="18" fillId="0" borderId="0" xfId="0" applyNumberFormat="1" applyFont="1" applyFill="1" applyBorder="1" applyAlignment="1">
      <alignment horizontal="center" vertical="top" wrapText="1"/>
    </xf>
    <xf numFmtId="2" fontId="0" fillId="0" borderId="0" xfId="0" applyNumberFormat="1" applyAlignment="1">
      <alignment horizontal="center"/>
    </xf>
    <xf numFmtId="0" fontId="18" fillId="0" borderId="0" xfId="0" applyFont="1" applyBorder="1" applyAlignment="1">
      <alignment horizontal="center" vertical="top" wrapText="1"/>
    </xf>
    <xf numFmtId="0" fontId="17" fillId="0" borderId="0" xfId="0" applyFont="1" applyBorder="1" applyAlignment="1">
      <alignment vertical="top" wrapText="1"/>
    </xf>
    <xf numFmtId="0" fontId="17" fillId="0" borderId="0" xfId="0" applyFont="1" applyBorder="1" applyAlignment="1">
      <alignment horizontal="center" vertical="top" wrapText="1"/>
    </xf>
    <xf numFmtId="0" fontId="17" fillId="0" borderId="0" xfId="0" applyFont="1" applyBorder="1" applyAlignment="1">
      <alignment wrapText="1"/>
    </xf>
    <xf numFmtId="0" fontId="9" fillId="0" borderId="0" xfId="0" applyFont="1" applyFill="1" applyBorder="1" applyAlignment="1">
      <alignment horizontal="center" vertical="top" wrapText="1"/>
    </xf>
    <xf numFmtId="0" fontId="4" fillId="0" borderId="0" xfId="0" applyFont="1" applyAlignment="1">
      <alignment/>
    </xf>
    <xf numFmtId="0" fontId="16" fillId="0" borderId="0" xfId="0" applyFont="1" applyFill="1" applyBorder="1" applyAlignment="1">
      <alignment/>
    </xf>
    <xf numFmtId="0" fontId="0" fillId="33" borderId="24" xfId="0" applyFill="1" applyBorder="1" applyAlignment="1">
      <alignment/>
    </xf>
    <xf numFmtId="0" fontId="0" fillId="33" borderId="0" xfId="0" applyFill="1" applyBorder="1" applyAlignment="1">
      <alignment/>
    </xf>
    <xf numFmtId="0" fontId="0" fillId="33" borderId="25" xfId="0" applyFill="1" applyBorder="1" applyAlignment="1">
      <alignment/>
    </xf>
    <xf numFmtId="0" fontId="0" fillId="33" borderId="26" xfId="0" applyFill="1" applyBorder="1" applyAlignment="1">
      <alignment/>
    </xf>
    <xf numFmtId="0" fontId="0" fillId="33" borderId="27" xfId="0" applyFill="1" applyBorder="1" applyAlignment="1">
      <alignment/>
    </xf>
    <xf numFmtId="0" fontId="0" fillId="33" borderId="28" xfId="0" applyFill="1" applyBorder="1" applyAlignment="1">
      <alignment/>
    </xf>
    <xf numFmtId="0" fontId="0" fillId="33" borderId="29" xfId="0" applyFill="1" applyBorder="1" applyAlignment="1">
      <alignment/>
    </xf>
    <xf numFmtId="0" fontId="0" fillId="33" borderId="30" xfId="0" applyFill="1" applyBorder="1" applyAlignment="1">
      <alignment/>
    </xf>
    <xf numFmtId="179" fontId="1" fillId="33" borderId="0" xfId="44" applyNumberFormat="1" applyFont="1" applyFill="1" applyBorder="1" applyAlignment="1">
      <alignment/>
    </xf>
    <xf numFmtId="0" fontId="0" fillId="33" borderId="31" xfId="0" applyFill="1" applyBorder="1" applyAlignment="1">
      <alignment/>
    </xf>
    <xf numFmtId="165" fontId="0" fillId="33" borderId="25" xfId="0" applyNumberFormat="1" applyFill="1" applyBorder="1" applyAlignment="1">
      <alignment/>
    </xf>
    <xf numFmtId="0" fontId="1" fillId="33" borderId="26" xfId="0" applyFont="1" applyFill="1" applyBorder="1" applyAlignment="1">
      <alignment/>
    </xf>
    <xf numFmtId="165" fontId="1" fillId="33" borderId="28" xfId="0" applyNumberFormat="1" applyFont="1" applyFill="1" applyBorder="1" applyAlignment="1">
      <alignment/>
    </xf>
    <xf numFmtId="179" fontId="0" fillId="33" borderId="0" xfId="0" applyNumberFormat="1" applyFill="1" applyBorder="1" applyAlignment="1">
      <alignment/>
    </xf>
    <xf numFmtId="179" fontId="1" fillId="33" borderId="27" xfId="44" applyNumberFormat="1" applyFont="1" applyFill="1" applyBorder="1" applyAlignment="1">
      <alignment/>
    </xf>
    <xf numFmtId="0" fontId="16" fillId="33" borderId="31" xfId="0" applyFont="1" applyFill="1" applyBorder="1" applyAlignment="1">
      <alignment/>
    </xf>
    <xf numFmtId="179" fontId="1" fillId="33" borderId="27" xfId="0" applyNumberFormat="1" applyFont="1" applyFill="1" applyBorder="1" applyAlignment="1">
      <alignment/>
    </xf>
    <xf numFmtId="185" fontId="0" fillId="0" borderId="32" xfId="0" applyNumberFormat="1" applyFill="1" applyBorder="1" applyAlignment="1" applyProtection="1">
      <alignment horizontal="center"/>
      <protection locked="0"/>
    </xf>
    <xf numFmtId="165" fontId="0" fillId="0" borderId="10" xfId="0" applyNumberFormat="1" applyFill="1" applyBorder="1" applyAlignment="1" applyProtection="1">
      <alignment/>
      <protection locked="0"/>
    </xf>
    <xf numFmtId="0" fontId="16" fillId="33" borderId="31" xfId="0" applyFont="1" applyFill="1" applyBorder="1" applyAlignment="1" applyProtection="1">
      <alignment/>
      <protection/>
    </xf>
    <xf numFmtId="0" fontId="1" fillId="33" borderId="30" xfId="0" applyFont="1" applyFill="1" applyBorder="1" applyAlignment="1" applyProtection="1">
      <alignment/>
      <protection/>
    </xf>
    <xf numFmtId="0" fontId="0" fillId="33" borderId="25" xfId="0" applyFill="1" applyBorder="1" applyAlignment="1" applyProtection="1">
      <alignment/>
      <protection/>
    </xf>
    <xf numFmtId="179" fontId="1" fillId="33" borderId="0" xfId="44" applyNumberFormat="1" applyFont="1" applyFill="1" applyBorder="1" applyAlignment="1" applyProtection="1">
      <alignment/>
      <protection/>
    </xf>
    <xf numFmtId="0" fontId="0" fillId="33" borderId="29" xfId="0" applyFill="1" applyBorder="1" applyAlignment="1" applyProtection="1">
      <alignment/>
      <protection locked="0"/>
    </xf>
    <xf numFmtId="0" fontId="0" fillId="33" borderId="0" xfId="0" applyFill="1" applyBorder="1" applyAlignment="1" applyProtection="1">
      <alignment/>
      <protection locked="0"/>
    </xf>
    <xf numFmtId="185" fontId="0" fillId="0" borderId="32" xfId="0" applyNumberFormat="1" applyFont="1" applyFill="1" applyBorder="1" applyAlignment="1" applyProtection="1">
      <alignment horizontal="center"/>
      <protection locked="0"/>
    </xf>
    <xf numFmtId="0" fontId="0" fillId="0" borderId="0" xfId="0" applyAlignment="1" applyProtection="1">
      <alignment/>
      <protection/>
    </xf>
    <xf numFmtId="0" fontId="0" fillId="0" borderId="33" xfId="0" applyFill="1" applyBorder="1" applyAlignment="1">
      <alignment/>
    </xf>
    <xf numFmtId="179" fontId="0" fillId="34" borderId="0" xfId="44" applyNumberFormat="1" applyFont="1" applyFill="1" applyBorder="1" applyAlignment="1">
      <alignment/>
    </xf>
    <xf numFmtId="0" fontId="0" fillId="34" borderId="25" xfId="0" applyFill="1" applyBorder="1" applyAlignment="1">
      <alignment/>
    </xf>
    <xf numFmtId="181" fontId="0" fillId="34" borderId="0" xfId="44" applyNumberFormat="1" applyFont="1" applyFill="1" applyBorder="1" applyAlignment="1">
      <alignment/>
    </xf>
    <xf numFmtId="185" fontId="0" fillId="34" borderId="29" xfId="0" applyNumberFormat="1" applyFont="1" applyFill="1" applyBorder="1" applyAlignment="1" applyProtection="1">
      <alignment horizontal="center"/>
      <protection locked="0"/>
    </xf>
    <xf numFmtId="0" fontId="0" fillId="34" borderId="30" xfId="0" applyFill="1" applyBorder="1" applyAlignment="1" applyProtection="1">
      <alignment/>
      <protection/>
    </xf>
    <xf numFmtId="0" fontId="0" fillId="34" borderId="0" xfId="0" applyFill="1" applyBorder="1" applyAlignment="1">
      <alignment/>
    </xf>
    <xf numFmtId="165" fontId="0" fillId="34" borderId="25" xfId="0" applyNumberFormat="1" applyFill="1" applyBorder="1" applyAlignment="1">
      <alignment/>
    </xf>
    <xf numFmtId="179" fontId="0" fillId="34" borderId="27" xfId="0" applyNumberFormat="1" applyFill="1" applyBorder="1" applyAlignment="1">
      <alignment/>
    </xf>
    <xf numFmtId="0" fontId="0" fillId="34" borderId="28" xfId="0" applyFill="1" applyBorder="1" applyAlignment="1">
      <alignment/>
    </xf>
    <xf numFmtId="179" fontId="0" fillId="33" borderId="29" xfId="44" applyNumberFormat="1" applyFont="1" applyFill="1" applyBorder="1" applyAlignment="1">
      <alignment/>
    </xf>
    <xf numFmtId="181" fontId="0" fillId="33" borderId="0" xfId="44" applyNumberFormat="1" applyFont="1" applyFill="1" applyBorder="1" applyAlignment="1">
      <alignment/>
    </xf>
    <xf numFmtId="0" fontId="1" fillId="35" borderId="34" xfId="0" applyFont="1" applyFill="1" applyBorder="1" applyAlignment="1">
      <alignment/>
    </xf>
    <xf numFmtId="0" fontId="0" fillId="35" borderId="35" xfId="0" applyFill="1" applyBorder="1" applyAlignment="1">
      <alignment/>
    </xf>
    <xf numFmtId="182" fontId="0" fillId="33" borderId="25" xfId="0" applyNumberFormat="1" applyFill="1" applyBorder="1" applyAlignment="1">
      <alignment horizontal="center"/>
    </xf>
    <xf numFmtId="0" fontId="0" fillId="0" borderId="36" xfId="0" applyFill="1" applyBorder="1" applyAlignment="1" applyProtection="1">
      <alignment horizontal="center"/>
      <protection locked="0"/>
    </xf>
    <xf numFmtId="0" fontId="0" fillId="33" borderId="25" xfId="0" applyFill="1" applyBorder="1" applyAlignment="1">
      <alignment horizontal="center"/>
    </xf>
    <xf numFmtId="0" fontId="0" fillId="0" borderId="37" xfId="0" applyFill="1" applyBorder="1" applyAlignment="1" applyProtection="1">
      <alignment horizontal="center"/>
      <protection locked="0"/>
    </xf>
    <xf numFmtId="0" fontId="1" fillId="0" borderId="38" xfId="0" applyFont="1" applyFill="1" applyBorder="1" applyAlignment="1" applyProtection="1">
      <alignment horizontal="center"/>
      <protection locked="0"/>
    </xf>
    <xf numFmtId="177" fontId="0" fillId="33" borderId="25" xfId="0" applyNumberFormat="1" applyFill="1" applyBorder="1" applyAlignment="1">
      <alignment/>
    </xf>
    <xf numFmtId="183" fontId="0" fillId="33" borderId="25" xfId="0" applyNumberFormat="1" applyFill="1" applyBorder="1" applyAlignment="1">
      <alignment horizontal="center"/>
    </xf>
    <xf numFmtId="0" fontId="0" fillId="36" borderId="0" xfId="0" applyFill="1" applyAlignment="1">
      <alignment/>
    </xf>
    <xf numFmtId="0" fontId="0" fillId="37" borderId="0" xfId="0" applyFill="1" applyAlignment="1">
      <alignment/>
    </xf>
    <xf numFmtId="0" fontId="0" fillId="38" borderId="0" xfId="0" applyFill="1" applyAlignment="1">
      <alignment/>
    </xf>
    <xf numFmtId="0" fontId="22" fillId="36" borderId="0" xfId="0" applyFont="1" applyFill="1" applyAlignment="1">
      <alignment/>
    </xf>
    <xf numFmtId="0" fontId="22" fillId="38" borderId="0" xfId="0" applyFont="1" applyFill="1" applyAlignment="1">
      <alignment/>
    </xf>
    <xf numFmtId="0" fontId="22" fillId="37" borderId="0" xfId="0" applyFont="1" applyFill="1" applyAlignment="1">
      <alignment/>
    </xf>
    <xf numFmtId="0" fontId="1" fillId="33" borderId="31" xfId="0" applyFont="1" applyFill="1" applyBorder="1" applyAlignment="1">
      <alignment horizontal="right"/>
    </xf>
    <xf numFmtId="0" fontId="0" fillId="33" borderId="24" xfId="0" applyFill="1" applyBorder="1" applyAlignment="1">
      <alignment horizontal="right"/>
    </xf>
    <xf numFmtId="0" fontId="0" fillId="33" borderId="26" xfId="0" applyFill="1" applyBorder="1" applyAlignment="1">
      <alignment horizontal="right"/>
    </xf>
    <xf numFmtId="0" fontId="0" fillId="33" borderId="31" xfId="0" applyFill="1" applyBorder="1" applyAlignment="1">
      <alignment horizontal="right"/>
    </xf>
    <xf numFmtId="0" fontId="0" fillId="34" borderId="24" xfId="0" applyFill="1" applyBorder="1" applyAlignment="1">
      <alignment horizontal="right"/>
    </xf>
    <xf numFmtId="0" fontId="1" fillId="33" borderId="24" xfId="0" applyFont="1" applyFill="1" applyBorder="1" applyAlignment="1">
      <alignment horizontal="right"/>
    </xf>
    <xf numFmtId="0" fontId="1" fillId="33" borderId="26" xfId="0" applyFont="1" applyFill="1" applyBorder="1" applyAlignment="1">
      <alignment horizontal="right"/>
    </xf>
    <xf numFmtId="0" fontId="1" fillId="34" borderId="31" xfId="0" applyFont="1" applyFill="1" applyBorder="1" applyAlignment="1" applyProtection="1">
      <alignment horizontal="right"/>
      <protection/>
    </xf>
    <xf numFmtId="0" fontId="0" fillId="34" borderId="26" xfId="0" applyFill="1" applyBorder="1" applyAlignment="1">
      <alignment horizontal="right"/>
    </xf>
    <xf numFmtId="0" fontId="0" fillId="33" borderId="24" xfId="0" applyFill="1" applyBorder="1" applyAlignment="1" applyProtection="1">
      <alignment horizontal="right"/>
      <protection/>
    </xf>
    <xf numFmtId="0" fontId="1" fillId="33" borderId="26" xfId="0" applyFont="1" applyFill="1" applyBorder="1" applyAlignment="1" applyProtection="1">
      <alignment horizontal="right"/>
      <protection/>
    </xf>
    <xf numFmtId="177" fontId="0" fillId="33" borderId="30" xfId="0" applyNumberFormat="1" applyFill="1" applyBorder="1" applyAlignment="1">
      <alignment/>
    </xf>
    <xf numFmtId="0" fontId="14" fillId="0" borderId="0" xfId="53" applyAlignment="1" applyProtection="1">
      <alignment/>
      <protection/>
    </xf>
    <xf numFmtId="0" fontId="20" fillId="0" borderId="0" xfId="0" applyFont="1" applyFill="1" applyAlignment="1">
      <alignment/>
    </xf>
    <xf numFmtId="0" fontId="0" fillId="0" borderId="0" xfId="0" applyFill="1" applyAlignment="1">
      <alignment/>
    </xf>
    <xf numFmtId="0" fontId="20" fillId="0" borderId="0" xfId="0" applyFont="1" applyFill="1" applyAlignment="1" applyProtection="1">
      <alignment/>
      <protection/>
    </xf>
    <xf numFmtId="0" fontId="0" fillId="39" borderId="37" xfId="0" applyFill="1" applyBorder="1" applyAlignment="1" applyProtection="1">
      <alignment horizontal="center"/>
      <protection locked="0"/>
    </xf>
    <xf numFmtId="0" fontId="0" fillId="39" borderId="33" xfId="0" applyFill="1" applyBorder="1" applyAlignment="1" applyProtection="1">
      <alignment horizontal="center"/>
      <protection locked="0"/>
    </xf>
    <xf numFmtId="0" fontId="0" fillId="0" borderId="33" xfId="0" applyFill="1" applyBorder="1" applyAlignment="1" applyProtection="1">
      <alignment/>
      <protection locked="0"/>
    </xf>
    <xf numFmtId="176" fontId="0" fillId="33" borderId="0" xfId="0" applyNumberFormat="1" applyFill="1" applyBorder="1" applyAlignment="1">
      <alignment horizontal="right"/>
    </xf>
    <xf numFmtId="2" fontId="0" fillId="33" borderId="30" xfId="0" applyNumberFormat="1" applyFill="1" applyBorder="1" applyAlignment="1">
      <alignment/>
    </xf>
    <xf numFmtId="0" fontId="0" fillId="0" borderId="0" xfId="0" applyFont="1" applyBorder="1" applyAlignment="1">
      <alignment/>
    </xf>
    <xf numFmtId="0" fontId="0" fillId="0" borderId="0" xfId="0" applyFont="1" applyFill="1" applyBorder="1" applyAlignment="1">
      <alignment/>
    </xf>
    <xf numFmtId="1" fontId="0" fillId="0" borderId="0" xfId="0" applyNumberFormat="1" applyAlignment="1">
      <alignment/>
    </xf>
    <xf numFmtId="0" fontId="1" fillId="0" borderId="10" xfId="0" applyFont="1" applyBorder="1" applyAlignment="1">
      <alignment/>
    </xf>
    <xf numFmtId="0" fontId="16" fillId="40" borderId="10" xfId="0" applyFont="1" applyFill="1" applyBorder="1" applyAlignment="1">
      <alignment/>
    </xf>
    <xf numFmtId="0" fontId="1" fillId="40" borderId="10" xfId="0" applyFont="1" applyFill="1" applyBorder="1" applyAlignment="1">
      <alignment wrapText="1"/>
    </xf>
    <xf numFmtId="0" fontId="0" fillId="41" borderId="10" xfId="0" applyFill="1" applyBorder="1" applyAlignment="1" applyProtection="1">
      <alignment horizontal="center"/>
      <protection locked="0"/>
    </xf>
    <xf numFmtId="0" fontId="0" fillId="0" borderId="0" xfId="0" applyFont="1" applyFill="1" applyBorder="1" applyAlignment="1">
      <alignment horizontal="center"/>
    </xf>
    <xf numFmtId="0" fontId="0" fillId="0" borderId="10" xfId="0" applyFill="1" applyBorder="1" applyAlignment="1">
      <alignment horizontal="center"/>
    </xf>
    <xf numFmtId="0" fontId="16" fillId="41" borderId="10" xfId="0" applyFont="1" applyFill="1" applyBorder="1" applyAlignment="1">
      <alignment/>
    </xf>
    <xf numFmtId="0" fontId="0" fillId="41" borderId="10" xfId="0" applyFill="1" applyBorder="1" applyAlignment="1">
      <alignment/>
    </xf>
    <xf numFmtId="0" fontId="16" fillId="41" borderId="39" xfId="0" applyFont="1" applyFill="1" applyBorder="1" applyAlignment="1">
      <alignment/>
    </xf>
    <xf numFmtId="176" fontId="19" fillId="41" borderId="39" xfId="0" applyNumberFormat="1" applyFont="1" applyFill="1" applyBorder="1" applyAlignment="1">
      <alignment horizontal="left"/>
    </xf>
    <xf numFmtId="0" fontId="0" fillId="41" borderId="35" xfId="0" applyFill="1" applyBorder="1" applyAlignment="1">
      <alignment/>
    </xf>
    <xf numFmtId="0" fontId="1" fillId="0" borderId="0" xfId="0" applyFont="1" applyAlignment="1">
      <alignment horizontal="center"/>
    </xf>
    <xf numFmtId="0" fontId="25" fillId="0" borderId="0" xfId="0" applyFont="1" applyAlignment="1">
      <alignment/>
    </xf>
    <xf numFmtId="1" fontId="0" fillId="33" borderId="13" xfId="0" applyNumberFormat="1" applyFill="1" applyBorder="1" applyAlignment="1">
      <alignment vertical="top" wrapText="1"/>
    </xf>
    <xf numFmtId="0" fontId="0" fillId="0" borderId="0" xfId="0" applyBorder="1" applyAlignment="1">
      <alignment horizontal="center"/>
    </xf>
    <xf numFmtId="175" fontId="0" fillId="0" borderId="0" xfId="0" applyNumberFormat="1" applyBorder="1" applyAlignment="1">
      <alignment horizontal="center"/>
    </xf>
    <xf numFmtId="0" fontId="1" fillId="0" borderId="0" xfId="0" applyFont="1" applyFill="1" applyBorder="1" applyAlignment="1">
      <alignment horizontal="center"/>
    </xf>
    <xf numFmtId="185" fontId="0" fillId="33" borderId="0" xfId="0" applyNumberFormat="1" applyFont="1" applyFill="1" applyBorder="1" applyAlignment="1" applyProtection="1">
      <alignment horizontal="center"/>
      <protection locked="0"/>
    </xf>
    <xf numFmtId="0" fontId="0" fillId="33" borderId="24" xfId="0" applyFont="1" applyFill="1" applyBorder="1" applyAlignment="1" applyProtection="1">
      <alignment horizontal="right"/>
      <protection/>
    </xf>
    <xf numFmtId="0" fontId="24" fillId="33" borderId="25" xfId="0" applyFont="1" applyFill="1" applyBorder="1" applyAlignment="1" applyProtection="1">
      <alignment horizontal="left" vertical="top" wrapText="1"/>
      <protection/>
    </xf>
    <xf numFmtId="0" fontId="1" fillId="0" borderId="0" xfId="0" applyFont="1" applyBorder="1" applyAlignment="1">
      <alignment/>
    </xf>
    <xf numFmtId="0" fontId="0" fillId="33" borderId="31" xfId="0" applyFont="1" applyFill="1" applyBorder="1" applyAlignment="1" applyProtection="1">
      <alignment horizontal="right"/>
      <protection/>
    </xf>
    <xf numFmtId="185" fontId="0" fillId="33" borderId="29" xfId="0" applyNumberFormat="1" applyFont="1" applyFill="1" applyBorder="1" applyAlignment="1" applyProtection="1">
      <alignment horizontal="center"/>
      <protection locked="0"/>
    </xf>
    <xf numFmtId="0" fontId="0" fillId="33" borderId="30" xfId="0" applyFont="1" applyFill="1" applyBorder="1" applyAlignment="1">
      <alignment/>
    </xf>
    <xf numFmtId="0" fontId="0" fillId="33" borderId="26" xfId="0" applyFont="1" applyFill="1" applyBorder="1" applyAlignment="1" applyProtection="1">
      <alignment horizontal="right"/>
      <protection/>
    </xf>
    <xf numFmtId="0" fontId="21" fillId="33" borderId="28" xfId="0" applyFont="1" applyFill="1" applyBorder="1" applyAlignment="1">
      <alignment vertical="top" wrapText="1"/>
    </xf>
    <xf numFmtId="0" fontId="26" fillId="0" borderId="0" xfId="0" applyFont="1" applyAlignment="1">
      <alignment/>
    </xf>
    <xf numFmtId="0" fontId="9" fillId="0" borderId="39" xfId="0" applyFont="1" applyBorder="1" applyAlignment="1" applyProtection="1">
      <alignment horizontal="center"/>
      <protection locked="0"/>
    </xf>
    <xf numFmtId="3" fontId="9" fillId="0" borderId="39" xfId="0" applyNumberFormat="1" applyFont="1" applyBorder="1" applyAlignment="1" applyProtection="1">
      <alignment horizontal="center"/>
      <protection locked="0"/>
    </xf>
    <xf numFmtId="0" fontId="0" fillId="0" borderId="0" xfId="0" applyFill="1" applyAlignment="1" applyProtection="1">
      <alignment/>
      <protection/>
    </xf>
    <xf numFmtId="0" fontId="16" fillId="0" borderId="0" xfId="0" applyFont="1" applyAlignment="1" applyProtection="1">
      <alignment/>
      <protection/>
    </xf>
    <xf numFmtId="0" fontId="1" fillId="0" borderId="0" xfId="0" applyFont="1" applyAlignment="1" applyProtection="1">
      <alignment/>
      <protection/>
    </xf>
    <xf numFmtId="0" fontId="16" fillId="33" borderId="40" xfId="0" applyFont="1" applyFill="1" applyBorder="1" applyAlignment="1" applyProtection="1">
      <alignment/>
      <protection/>
    </xf>
    <xf numFmtId="0" fontId="0" fillId="33" borderId="41" xfId="0" applyFill="1" applyBorder="1" applyAlignment="1" applyProtection="1">
      <alignment/>
      <protection/>
    </xf>
    <xf numFmtId="0" fontId="16" fillId="0" borderId="0" xfId="0" applyFont="1" applyAlignment="1" applyProtection="1">
      <alignment horizontal="center"/>
      <protection/>
    </xf>
    <xf numFmtId="165" fontId="9" fillId="33" borderId="39" xfId="0" applyNumberFormat="1" applyFont="1" applyFill="1" applyBorder="1" applyAlignment="1" applyProtection="1">
      <alignment/>
      <protection/>
    </xf>
    <xf numFmtId="0" fontId="16" fillId="33" borderId="34" xfId="0" applyFont="1" applyFill="1" applyBorder="1" applyAlignment="1" applyProtection="1">
      <alignment/>
      <protection/>
    </xf>
    <xf numFmtId="0" fontId="0" fillId="33" borderId="42" xfId="0" applyFill="1" applyBorder="1" applyAlignment="1" applyProtection="1">
      <alignment/>
      <protection/>
    </xf>
    <xf numFmtId="185" fontId="9" fillId="33" borderId="39" xfId="0" applyNumberFormat="1" applyFont="1" applyFill="1" applyBorder="1" applyAlignment="1" applyProtection="1">
      <alignment/>
      <protection/>
    </xf>
    <xf numFmtId="0" fontId="0" fillId="33" borderId="35" xfId="0" applyFill="1" applyBorder="1" applyAlignment="1" applyProtection="1">
      <alignment/>
      <protection/>
    </xf>
    <xf numFmtId="165" fontId="0" fillId="33" borderId="39" xfId="0" applyNumberFormat="1" applyFill="1" applyBorder="1" applyAlignment="1" applyProtection="1">
      <alignment/>
      <protection/>
    </xf>
    <xf numFmtId="0" fontId="16" fillId="33" borderId="26" xfId="0" applyFont="1" applyFill="1" applyBorder="1" applyAlignment="1" applyProtection="1">
      <alignment/>
      <protection/>
    </xf>
    <xf numFmtId="0" fontId="0" fillId="33" borderId="28" xfId="0" applyFill="1" applyBorder="1" applyAlignment="1" applyProtection="1">
      <alignment/>
      <protection/>
    </xf>
    <xf numFmtId="195" fontId="0" fillId="33" borderId="43" xfId="0" applyNumberFormat="1" applyFill="1" applyBorder="1" applyAlignment="1" applyProtection="1">
      <alignment/>
      <protection/>
    </xf>
    <xf numFmtId="185" fontId="0" fillId="33" borderId="43" xfId="0" applyNumberFormat="1" applyFill="1" applyBorder="1" applyAlignment="1" applyProtection="1">
      <alignment/>
      <protection/>
    </xf>
    <xf numFmtId="185" fontId="0" fillId="0" borderId="0" xfId="0" applyNumberFormat="1" applyAlignment="1" applyProtection="1">
      <alignment/>
      <protection/>
    </xf>
    <xf numFmtId="0" fontId="16" fillId="41" borderId="34" xfId="0" applyFont="1" applyFill="1" applyBorder="1" applyAlignment="1" applyProtection="1">
      <alignment/>
      <protection/>
    </xf>
    <xf numFmtId="0" fontId="0" fillId="41" borderId="42" xfId="0" applyFill="1" applyBorder="1" applyAlignment="1" applyProtection="1">
      <alignment/>
      <protection/>
    </xf>
    <xf numFmtId="192" fontId="22" fillId="41" borderId="39" xfId="0" applyNumberFormat="1" applyFont="1" applyFill="1" applyBorder="1" applyAlignment="1" applyProtection="1">
      <alignment horizontal="center"/>
      <protection/>
    </xf>
    <xf numFmtId="0" fontId="16" fillId="0" borderId="10" xfId="0" applyFont="1" applyFill="1" applyBorder="1" applyAlignment="1" applyProtection="1">
      <alignment horizontal="center"/>
      <protection locked="0"/>
    </xf>
    <xf numFmtId="0" fontId="0" fillId="0" borderId="10" xfId="0" applyFill="1" applyBorder="1" applyAlignment="1" applyProtection="1">
      <alignment horizontal="center"/>
      <protection locked="0"/>
    </xf>
    <xf numFmtId="0" fontId="0" fillId="0" borderId="10" xfId="0" applyFont="1" applyFill="1" applyBorder="1" applyAlignment="1" applyProtection="1">
      <alignment horizontal="center"/>
      <protection locked="0"/>
    </xf>
    <xf numFmtId="0" fontId="16" fillId="38" borderId="44" xfId="0" applyFont="1" applyFill="1" applyBorder="1" applyAlignment="1" applyProtection="1">
      <alignment/>
      <protection/>
    </xf>
    <xf numFmtId="0" fontId="0" fillId="38" borderId="45" xfId="0" applyFill="1" applyBorder="1" applyAlignment="1" applyProtection="1">
      <alignment/>
      <protection/>
    </xf>
    <xf numFmtId="0" fontId="0" fillId="38" borderId="46" xfId="0" applyFill="1" applyBorder="1" applyAlignment="1" applyProtection="1">
      <alignment/>
      <protection/>
    </xf>
    <xf numFmtId="0" fontId="16" fillId="38" borderId="10" xfId="0" applyFont="1" applyFill="1" applyBorder="1" applyAlignment="1" applyProtection="1">
      <alignment/>
      <protection/>
    </xf>
    <xf numFmtId="0" fontId="16" fillId="41" borderId="44" xfId="0" applyFont="1" applyFill="1" applyBorder="1" applyAlignment="1" applyProtection="1">
      <alignment/>
      <protection/>
    </xf>
    <xf numFmtId="0" fontId="0" fillId="41" borderId="45" xfId="0" applyFill="1" applyBorder="1" applyAlignment="1" applyProtection="1">
      <alignment/>
      <protection/>
    </xf>
    <xf numFmtId="0" fontId="0" fillId="41" borderId="46" xfId="0" applyFill="1" applyBorder="1" applyAlignment="1" applyProtection="1">
      <alignment/>
      <protection/>
    </xf>
    <xf numFmtId="0" fontId="0" fillId="38" borderId="10" xfId="0" applyFill="1" applyBorder="1" applyAlignment="1" applyProtection="1">
      <alignment horizontal="center"/>
      <protection/>
    </xf>
    <xf numFmtId="0" fontId="1" fillId="34" borderId="24" xfId="0" applyFont="1" applyFill="1" applyBorder="1" applyAlignment="1">
      <alignment horizontal="right"/>
    </xf>
    <xf numFmtId="179" fontId="0" fillId="0" borderId="10" xfId="0" applyNumberFormat="1" applyFill="1" applyBorder="1" applyAlignment="1">
      <alignment/>
    </xf>
    <xf numFmtId="0" fontId="4" fillId="0" borderId="0" xfId="0" applyFont="1" applyAlignment="1" applyProtection="1">
      <alignment/>
      <protection/>
    </xf>
    <xf numFmtId="0" fontId="0" fillId="41" borderId="10" xfId="0" applyFill="1" applyBorder="1" applyAlignment="1" applyProtection="1" quotePrefix="1">
      <alignment horizontal="center"/>
      <protection locked="0"/>
    </xf>
    <xf numFmtId="0" fontId="0" fillId="41" borderId="47" xfId="0" applyFill="1" applyBorder="1" applyAlignment="1" applyProtection="1" quotePrefix="1">
      <alignment horizontal="center"/>
      <protection locked="0"/>
    </xf>
    <xf numFmtId="0" fontId="0" fillId="38" borderId="44" xfId="0" applyFont="1" applyFill="1" applyBorder="1" applyAlignment="1" applyProtection="1">
      <alignment/>
      <protection/>
    </xf>
    <xf numFmtId="179" fontId="0" fillId="0" borderId="10" xfId="0" applyNumberFormat="1" applyFill="1" applyBorder="1" applyAlignment="1" applyProtection="1">
      <alignment/>
      <protection locked="0"/>
    </xf>
    <xf numFmtId="0" fontId="19" fillId="0" borderId="0" xfId="0" applyFont="1" applyAlignment="1" applyProtection="1">
      <alignment/>
      <protection locked="0"/>
    </xf>
    <xf numFmtId="0" fontId="0" fillId="0" borderId="0" xfId="0" applyAlignment="1" applyProtection="1">
      <alignment/>
      <protection locked="0"/>
    </xf>
    <xf numFmtId="0" fontId="1" fillId="0" borderId="0" xfId="0" applyFont="1" applyAlignment="1" applyProtection="1">
      <alignment/>
      <protection locked="0"/>
    </xf>
    <xf numFmtId="0" fontId="4" fillId="36" borderId="0" xfId="0" applyFont="1" applyFill="1" applyAlignment="1" applyProtection="1">
      <alignment/>
      <protection locked="0"/>
    </xf>
    <xf numFmtId="0" fontId="0" fillId="36" borderId="0" xfId="0" applyFill="1" applyAlignment="1" applyProtection="1">
      <alignment/>
      <protection locked="0"/>
    </xf>
    <xf numFmtId="0" fontId="1" fillId="36" borderId="0" xfId="0" applyFont="1" applyFill="1" applyAlignment="1" applyProtection="1">
      <alignment/>
      <protection locked="0"/>
    </xf>
    <xf numFmtId="0" fontId="5" fillId="36" borderId="0" xfId="0" applyFont="1" applyFill="1" applyBorder="1" applyAlignment="1" applyProtection="1">
      <alignment horizontal="left" vertical="top"/>
      <protection locked="0"/>
    </xf>
    <xf numFmtId="0" fontId="0" fillId="0" borderId="0" xfId="0" applyAlignment="1" applyProtection="1">
      <alignment horizontal="left"/>
      <protection locked="0"/>
    </xf>
    <xf numFmtId="0" fontId="0" fillId="36" borderId="0" xfId="0" applyFont="1" applyFill="1" applyAlignment="1" applyProtection="1">
      <alignment/>
      <protection locked="0"/>
    </xf>
    <xf numFmtId="0" fontId="0" fillId="0" borderId="0" xfId="0" applyAlignment="1" applyProtection="1">
      <alignment horizontal="right"/>
      <protection locked="0"/>
    </xf>
    <xf numFmtId="0" fontId="1" fillId="0" borderId="0" xfId="0" applyFont="1" applyAlignment="1" applyProtection="1">
      <alignment horizontal="right"/>
      <protection locked="0"/>
    </xf>
    <xf numFmtId="2" fontId="0" fillId="36" borderId="0" xfId="0" applyNumberFormat="1" applyFill="1" applyAlignment="1" applyProtection="1">
      <alignment/>
      <protection locked="0"/>
    </xf>
    <xf numFmtId="0" fontId="0" fillId="34" borderId="0" xfId="0" applyFill="1" applyAlignment="1" applyProtection="1">
      <alignment/>
      <protection locked="0"/>
    </xf>
    <xf numFmtId="0" fontId="1" fillId="0" borderId="44" xfId="0" applyFont="1" applyBorder="1" applyAlignment="1" applyProtection="1">
      <alignment horizontal="right"/>
      <protection locked="0"/>
    </xf>
    <xf numFmtId="0" fontId="0" fillId="0" borderId="46" xfId="0" applyBorder="1" applyAlignment="1" applyProtection="1">
      <alignment/>
      <protection locked="0"/>
    </xf>
    <xf numFmtId="177" fontId="0" fillId="0" borderId="0" xfId="0" applyNumberFormat="1" applyAlignment="1" applyProtection="1">
      <alignment/>
      <protection locked="0"/>
    </xf>
    <xf numFmtId="0" fontId="0" fillId="36" borderId="31" xfId="0" applyFill="1" applyBorder="1" applyAlignment="1" applyProtection="1">
      <alignment/>
      <protection locked="0"/>
    </xf>
    <xf numFmtId="0" fontId="0" fillId="36" borderId="29" xfId="0" applyFill="1" applyBorder="1" applyAlignment="1" applyProtection="1">
      <alignment/>
      <protection locked="0"/>
    </xf>
    <xf numFmtId="176" fontId="0" fillId="36" borderId="30" xfId="0" applyNumberFormat="1" applyFill="1" applyBorder="1" applyAlignment="1" applyProtection="1">
      <alignment/>
      <protection locked="0"/>
    </xf>
    <xf numFmtId="0" fontId="0" fillId="36" borderId="0" xfId="0" applyFill="1" applyAlignment="1" applyProtection="1">
      <alignment horizontal="right"/>
      <protection locked="0"/>
    </xf>
    <xf numFmtId="0" fontId="1" fillId="34" borderId="0" xfId="0" applyFont="1" applyFill="1" applyAlignment="1" applyProtection="1">
      <alignment/>
      <protection locked="0"/>
    </xf>
    <xf numFmtId="0" fontId="23" fillId="0" borderId="0" xfId="0" applyFont="1" applyAlignment="1" applyProtection="1">
      <alignment horizontal="justify"/>
      <protection locked="0"/>
    </xf>
    <xf numFmtId="0" fontId="0" fillId="38" borderId="0" xfId="0" applyFill="1" applyAlignment="1" applyProtection="1">
      <alignment/>
      <protection locked="0"/>
    </xf>
    <xf numFmtId="0" fontId="0" fillId="37" borderId="0" xfId="0" applyFill="1" applyAlignment="1" applyProtection="1">
      <alignment/>
      <protection locked="0"/>
    </xf>
    <xf numFmtId="0" fontId="4" fillId="38" borderId="0" xfId="0" applyFont="1" applyFill="1" applyAlignment="1" applyProtection="1">
      <alignment/>
      <protection locked="0"/>
    </xf>
    <xf numFmtId="0" fontId="4" fillId="0" borderId="0" xfId="0" applyFont="1" applyAlignment="1" applyProtection="1">
      <alignment/>
      <protection locked="0"/>
    </xf>
    <xf numFmtId="0" fontId="0" fillId="0" borderId="0" xfId="0" applyAlignment="1" applyProtection="1">
      <alignment horizontal="center"/>
      <protection locked="0"/>
    </xf>
    <xf numFmtId="2" fontId="0" fillId="0" borderId="0" xfId="0" applyNumberFormat="1" applyAlignment="1" applyProtection="1">
      <alignment/>
      <protection locked="0"/>
    </xf>
    <xf numFmtId="0" fontId="4" fillId="37" borderId="0" xfId="0" applyFont="1" applyFill="1" applyAlignment="1" applyProtection="1">
      <alignment/>
      <protection locked="0"/>
    </xf>
    <xf numFmtId="0" fontId="0" fillId="37" borderId="0" xfId="0" applyFill="1" applyBorder="1" applyAlignment="1" applyProtection="1">
      <alignment horizontal="center"/>
      <protection locked="0"/>
    </xf>
    <xf numFmtId="0" fontId="0" fillId="37" borderId="0" xfId="0" applyFill="1" applyBorder="1" applyAlignment="1" applyProtection="1">
      <alignment/>
      <protection locked="0"/>
    </xf>
    <xf numFmtId="2" fontId="0" fillId="37" borderId="0" xfId="0" applyNumberFormat="1" applyFill="1" applyBorder="1" applyAlignment="1" applyProtection="1">
      <alignment/>
      <protection locked="0"/>
    </xf>
    <xf numFmtId="0" fontId="0" fillId="37" borderId="0" xfId="0" applyFill="1" applyAlignment="1" applyProtection="1">
      <alignment horizontal="center"/>
      <protection locked="0"/>
    </xf>
    <xf numFmtId="2" fontId="0" fillId="37" borderId="0" xfId="0" applyNumberFormat="1" applyFill="1" applyAlignment="1" applyProtection="1">
      <alignment/>
      <protection locked="0"/>
    </xf>
    <xf numFmtId="0" fontId="0" fillId="37" borderId="24" xfId="0" applyFill="1" applyBorder="1" applyAlignment="1" applyProtection="1">
      <alignment/>
      <protection locked="0"/>
    </xf>
    <xf numFmtId="176" fontId="0" fillId="37" borderId="25" xfId="0" applyNumberFormat="1" applyFill="1" applyBorder="1" applyAlignment="1" applyProtection="1">
      <alignment/>
      <protection locked="0"/>
    </xf>
    <xf numFmtId="1" fontId="0" fillId="0" borderId="0" xfId="0" applyNumberFormat="1" applyAlignment="1" applyProtection="1">
      <alignment/>
      <protection locked="0"/>
    </xf>
    <xf numFmtId="179" fontId="0" fillId="0" borderId="0" xfId="44" applyNumberFormat="1" applyFont="1" applyAlignment="1" applyProtection="1">
      <alignment/>
      <protection locked="0"/>
    </xf>
    <xf numFmtId="0" fontId="1" fillId="36" borderId="0" xfId="0" applyFont="1" applyFill="1" applyAlignment="1">
      <alignment/>
    </xf>
    <xf numFmtId="0" fontId="0" fillId="36" borderId="0" xfId="0" applyFill="1" applyAlignment="1">
      <alignment horizontal="left"/>
    </xf>
    <xf numFmtId="0" fontId="1" fillId="38" borderId="0" xfId="0" applyFont="1" applyFill="1" applyAlignment="1">
      <alignment/>
    </xf>
    <xf numFmtId="0" fontId="0" fillId="38" borderId="0" xfId="0" applyFill="1" applyAlignment="1">
      <alignment horizontal="left"/>
    </xf>
    <xf numFmtId="0" fontId="1" fillId="37" borderId="0" xfId="0" applyFont="1" applyFill="1" applyAlignment="1">
      <alignment/>
    </xf>
    <xf numFmtId="0" fontId="0" fillId="37" borderId="0" xfId="0" applyFill="1" applyAlignment="1">
      <alignment horizontal="left"/>
    </xf>
    <xf numFmtId="4" fontId="9" fillId="33" borderId="39" xfId="0" applyNumberFormat="1" applyFont="1" applyFill="1" applyBorder="1" applyAlignment="1" applyProtection="1">
      <alignment horizontal="center"/>
      <protection/>
    </xf>
    <xf numFmtId="175" fontId="0" fillId="0" borderId="0" xfId="0" applyNumberFormat="1" applyAlignment="1" applyProtection="1">
      <alignment/>
      <protection/>
    </xf>
    <xf numFmtId="2" fontId="19" fillId="41" borderId="39" xfId="0" applyNumberFormat="1" applyFont="1" applyFill="1" applyBorder="1" applyAlignment="1">
      <alignment horizontal="left"/>
    </xf>
    <xf numFmtId="195" fontId="0" fillId="0" borderId="43" xfId="0" applyNumberFormat="1" applyFill="1" applyBorder="1" applyAlignment="1" applyProtection="1">
      <alignment/>
      <protection locked="0"/>
    </xf>
    <xf numFmtId="0" fontId="24" fillId="33" borderId="25" xfId="0" applyFont="1" applyFill="1" applyBorder="1" applyAlignment="1" applyProtection="1">
      <alignment horizontal="left" wrapText="1"/>
      <protection/>
    </xf>
    <xf numFmtId="0" fontId="0" fillId="0" borderId="28" xfId="0" applyBorder="1" applyAlignment="1">
      <alignment/>
    </xf>
    <xf numFmtId="0" fontId="0" fillId="0" borderId="28" xfId="0" applyBorder="1" applyAlignment="1">
      <alignment wrapText="1"/>
    </xf>
    <xf numFmtId="0" fontId="16" fillId="33" borderId="40" xfId="0" applyFont="1" applyFill="1" applyBorder="1" applyAlignment="1" applyProtection="1">
      <alignment/>
      <protection/>
    </xf>
    <xf numFmtId="0" fontId="0" fillId="33" borderId="41" xfId="0" applyFill="1" applyBorder="1" applyAlignment="1" applyProtection="1">
      <alignment/>
      <protection/>
    </xf>
    <xf numFmtId="0" fontId="16" fillId="33" borderId="48" xfId="0" applyFont="1" applyFill="1" applyBorder="1" applyAlignment="1" applyProtection="1">
      <alignment/>
      <protection/>
    </xf>
    <xf numFmtId="0" fontId="0" fillId="33" borderId="49" xfId="0" applyFill="1" applyBorder="1" applyAlignment="1" applyProtection="1">
      <alignment/>
      <protection/>
    </xf>
    <xf numFmtId="0" fontId="9" fillId="0" borderId="0" xfId="0" applyFont="1" applyAlignment="1" applyProtection="1">
      <alignment horizontal="left" wrapText="1"/>
      <protection/>
    </xf>
    <xf numFmtId="0" fontId="9" fillId="0" borderId="0" xfId="0" applyFont="1" applyAlignment="1" applyProtection="1">
      <alignment wrapText="1"/>
      <protection/>
    </xf>
    <xf numFmtId="0" fontId="12" fillId="0" borderId="50" xfId="0" applyFont="1" applyBorder="1" applyAlignment="1">
      <alignment horizontal="center" wrapText="1"/>
    </xf>
    <xf numFmtId="0" fontId="12" fillId="0" borderId="51" xfId="0" applyFont="1" applyBorder="1" applyAlignment="1">
      <alignment horizontal="center" wrapText="1"/>
    </xf>
    <xf numFmtId="0" fontId="12" fillId="0" borderId="17" xfId="0" applyFont="1" applyBorder="1" applyAlignment="1">
      <alignment horizontal="center" wrapText="1"/>
    </xf>
    <xf numFmtId="0" fontId="12" fillId="0" borderId="52" xfId="0" applyFont="1" applyBorder="1" applyAlignment="1">
      <alignment horizontal="center" vertical="top" wrapText="1"/>
    </xf>
    <xf numFmtId="0" fontId="12" fillId="0" borderId="53" xfId="0" applyFont="1" applyBorder="1" applyAlignment="1">
      <alignment horizontal="center" vertical="top" wrapText="1"/>
    </xf>
    <xf numFmtId="0" fontId="12" fillId="0" borderId="54" xfId="0" applyFont="1" applyBorder="1" applyAlignment="1">
      <alignment horizontal="center" vertical="top" wrapText="1"/>
    </xf>
    <xf numFmtId="0" fontId="17" fillId="0" borderId="55" xfId="0" applyFont="1" applyBorder="1" applyAlignment="1">
      <alignment vertical="top" wrapText="1"/>
    </xf>
    <xf numFmtId="0" fontId="17" fillId="0" borderId="53" xfId="0" applyFont="1" applyBorder="1" applyAlignment="1">
      <alignment vertical="top" wrapText="1"/>
    </xf>
    <xf numFmtId="0" fontId="17" fillId="0" borderId="54" xfId="0" applyFont="1" applyBorder="1" applyAlignment="1">
      <alignment vertical="top" wrapText="1"/>
    </xf>
    <xf numFmtId="0" fontId="17" fillId="0" borderId="56" xfId="0" applyFont="1" applyBorder="1" applyAlignment="1">
      <alignment horizontal="center" vertical="top" wrapText="1"/>
    </xf>
    <xf numFmtId="0" fontId="17" fillId="0" borderId="17" xfId="0" applyFont="1" applyBorder="1" applyAlignment="1">
      <alignment horizontal="center" vertical="top" wrapText="1"/>
    </xf>
    <xf numFmtId="0" fontId="17" fillId="0" borderId="44" xfId="0" applyFont="1" applyBorder="1" applyAlignment="1">
      <alignment horizontal="center" vertical="top" wrapText="1"/>
    </xf>
    <xf numFmtId="0" fontId="17" fillId="0" borderId="45" xfId="0" applyFont="1" applyBorder="1" applyAlignment="1">
      <alignment horizontal="center" vertical="top" wrapText="1"/>
    </xf>
    <xf numFmtId="0" fontId="17" fillId="0" borderId="57" xfId="0" applyFont="1" applyBorder="1" applyAlignment="1">
      <alignment horizontal="center" vertical="top" wrapText="1"/>
    </xf>
    <xf numFmtId="0" fontId="17" fillId="0" borderId="56" xfId="0" applyFont="1" applyBorder="1" applyAlignment="1">
      <alignment horizontal="center" wrapText="1"/>
    </xf>
    <xf numFmtId="0" fontId="17" fillId="0" borderId="17" xfId="0" applyFont="1" applyBorder="1" applyAlignment="1">
      <alignment horizontal="center" wrapText="1"/>
    </xf>
    <xf numFmtId="0" fontId="17" fillId="0" borderId="58" xfId="0" applyFont="1" applyBorder="1" applyAlignment="1">
      <alignment vertical="top" wrapText="1"/>
    </xf>
    <xf numFmtId="0" fontId="17" fillId="0" borderId="59" xfId="0" applyFont="1" applyBorder="1" applyAlignment="1">
      <alignment vertical="top" wrapText="1"/>
    </xf>
    <xf numFmtId="0" fontId="17" fillId="0" borderId="60" xfId="0" applyFont="1" applyBorder="1" applyAlignment="1">
      <alignment vertical="top" wrapText="1"/>
    </xf>
    <xf numFmtId="0" fontId="17" fillId="0" borderId="58" xfId="0" applyFont="1" applyBorder="1" applyAlignment="1">
      <alignment wrapText="1"/>
    </xf>
    <xf numFmtId="0" fontId="17" fillId="0" borderId="59" xfId="0" applyFont="1" applyBorder="1" applyAlignment="1">
      <alignment wrapText="1"/>
    </xf>
    <xf numFmtId="0" fontId="17" fillId="0" borderId="60" xfId="0" applyFont="1" applyBorder="1" applyAlignment="1">
      <alignment wrapText="1"/>
    </xf>
    <xf numFmtId="0" fontId="1"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Front end MB'!C6" /><Relationship Id="rId3" Type="http://schemas.openxmlformats.org/officeDocument/2006/relationships/hyperlink" Target="#'Front end RC'!C6" /><Relationship Id="rId4" Type="http://schemas.openxmlformats.org/officeDocument/2006/relationships/hyperlink" Target="#'Front end RB'!C6" /><Relationship Id="rId5" Type="http://schemas.openxmlformats.org/officeDocument/2006/relationships/hyperlink" Target="#'Route builder'!A1"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Front end RC'!F11" /><Relationship Id="rId3" Type="http://schemas.openxmlformats.org/officeDocument/2006/relationships/hyperlink" Target="#'Front end RB'!F11" /><Relationship Id="rId4" Type="http://schemas.openxmlformats.org/officeDocument/2006/relationships/hyperlink" Target="#'Route builder'!A1"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Front end MB'!F11" /><Relationship Id="rId3" Type="http://schemas.openxmlformats.org/officeDocument/2006/relationships/hyperlink" Target="#'Front end RB'!F11" /><Relationship Id="rId4" Type="http://schemas.openxmlformats.org/officeDocument/2006/relationships/hyperlink" Target="#'Route builder'!A1"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Front end RC'!F11" /><Relationship Id="rId3" Type="http://schemas.openxmlformats.org/officeDocument/2006/relationships/hyperlink" Target="#'Front end MB'!F11" /><Relationship Id="rId4" Type="http://schemas.openxmlformats.org/officeDocument/2006/relationships/hyperlink" Target="#'Route builder'!A1" /></Relationships>
</file>

<file path=xl/drawings/_rels/drawing5.xml.rels><?xml version="1.0" encoding="utf-8" standalone="yes"?><Relationships xmlns="http://schemas.openxmlformats.org/package/2006/relationships"><Relationship Id="rId1" Type="http://schemas.openxmlformats.org/officeDocument/2006/relationships/hyperlink" Target="http://ternz.co.nz/docs/supporting%20documents/Background%20information.doc" TargetMode="External" /><Relationship Id="rId2" Type="http://schemas.openxmlformats.org/officeDocument/2006/relationships/image" Target="../media/image1.jpeg" /><Relationship Id="rId3" Type="http://schemas.openxmlformats.org/officeDocument/2006/relationships/hyperlink" Target="#'Front end MB'!F11" /><Relationship Id="rId4" Type="http://schemas.openxmlformats.org/officeDocument/2006/relationships/hyperlink" Target="#'Front end RC'!F11" /><Relationship Id="rId5" Type="http://schemas.openxmlformats.org/officeDocument/2006/relationships/hyperlink" Target="#'Front end RB'!F11" /></Relationships>
</file>

<file path=xl/drawings/_rels/drawing6.xml.rels><?xml version="1.0" encoding="utf-8" standalone="yes"?><Relationships xmlns="http://schemas.openxmlformats.org/package/2006/relationships"><Relationship Id="rId1" Type="http://schemas.openxmlformats.org/officeDocument/2006/relationships/hyperlink" Target="#'Front end MB'!F11" /><Relationship Id="rId2" Type="http://schemas.openxmlformats.org/officeDocument/2006/relationships/hyperlink" Target="#'Front end RC'!F11" /><Relationship Id="rId3" Type="http://schemas.openxmlformats.org/officeDocument/2006/relationships/hyperlink" Target="#'Front end RB'!F11" /><Relationship Id="rId4" Type="http://schemas.openxmlformats.org/officeDocument/2006/relationships/hyperlink" Target="#'Route builder'!A1" /></Relationships>
</file>

<file path=xl/drawings/_rels/drawing7.xml.rels><?xml version="1.0" encoding="utf-8" standalone="yes"?><Relationships xmlns="http://schemas.openxmlformats.org/package/2006/relationships"><Relationship Id="rId1" Type="http://schemas.openxmlformats.org/officeDocument/2006/relationships/hyperlink" Target="#'Front end MB'!F11" /><Relationship Id="rId2" Type="http://schemas.openxmlformats.org/officeDocument/2006/relationships/hyperlink" Target="#'Front end RC'!F11" /><Relationship Id="rId3" Type="http://schemas.openxmlformats.org/officeDocument/2006/relationships/hyperlink" Target="#'Front end RB'!F11" /><Relationship Id="rId4" Type="http://schemas.openxmlformats.org/officeDocument/2006/relationships/hyperlink" Target="#'Route builder'!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419100</xdr:colOff>
      <xdr:row>2</xdr:row>
      <xdr:rowOff>76200</xdr:rowOff>
    </xdr:from>
    <xdr:to>
      <xdr:col>9</xdr:col>
      <xdr:colOff>200025</xdr:colOff>
      <xdr:row>6</xdr:row>
      <xdr:rowOff>95250</xdr:rowOff>
    </xdr:to>
    <xdr:pic>
      <xdr:nvPicPr>
        <xdr:cNvPr id="1" name="Picture 1" descr="ternz"/>
        <xdr:cNvPicPr preferRelativeResize="1">
          <a:picLocks noChangeAspect="1"/>
        </xdr:cNvPicPr>
      </xdr:nvPicPr>
      <xdr:blipFill>
        <a:blip r:embed="rId1"/>
        <a:stretch>
          <a:fillRect/>
        </a:stretch>
      </xdr:blipFill>
      <xdr:spPr>
        <a:xfrm>
          <a:off x="4076700" y="571500"/>
          <a:ext cx="1609725" cy="733425"/>
        </a:xfrm>
        <a:prstGeom prst="rect">
          <a:avLst/>
        </a:prstGeom>
        <a:noFill/>
        <a:ln w="9525" cmpd="sng">
          <a:noFill/>
        </a:ln>
      </xdr:spPr>
    </xdr:pic>
    <xdr:clientData/>
  </xdr:twoCellAnchor>
  <xdr:twoCellAnchor>
    <xdr:from>
      <xdr:col>1</xdr:col>
      <xdr:colOff>57150</xdr:colOff>
      <xdr:row>6</xdr:row>
      <xdr:rowOff>142875</xdr:rowOff>
    </xdr:from>
    <xdr:to>
      <xdr:col>10</xdr:col>
      <xdr:colOff>19050</xdr:colOff>
      <xdr:row>22</xdr:row>
      <xdr:rowOff>85725</xdr:rowOff>
    </xdr:to>
    <xdr:sp>
      <xdr:nvSpPr>
        <xdr:cNvPr id="2" name="Text Box 2"/>
        <xdr:cNvSpPr txBox="1">
          <a:spLocks noChangeArrowheads="1"/>
        </xdr:cNvSpPr>
      </xdr:nvSpPr>
      <xdr:spPr>
        <a:xfrm>
          <a:off x="666750" y="1352550"/>
          <a:ext cx="5448300" cy="2533650"/>
        </a:xfrm>
        <a:prstGeom prst="rect">
          <a:avLst/>
        </a:prstGeom>
        <a:solidFill>
          <a:srgbClr val="FFFFFF"/>
        </a:solidFill>
        <a:ln w="9525" cmpd="sng">
          <a:noFill/>
        </a:ln>
      </xdr:spPr>
      <xdr:txBody>
        <a:bodyPr vertOverflow="clip" wrap="square" lIns="27432" tIns="22860" rIns="27432" bIns="0"/>
        <a:p>
          <a:pPr algn="ctr">
            <a:defRPr/>
          </a:pPr>
          <a:r>
            <a:rPr lang="en-US" cap="none" sz="1100" b="0" i="0" u="none" baseline="0">
              <a:solidFill>
                <a:srgbClr val="000000"/>
              </a:solidFill>
              <a:latin typeface="Arial"/>
              <a:ea typeface="Arial"/>
              <a:cs typeface="Arial"/>
            </a:rPr>
            <a:t>This tool is designed to assist Road Controlling Authorities and their consultants in evaluating the cost effectiveness of delineation treatments that are aimed at improving road safety. The tool provides a benefit / cost ratio for delineation improvements to rural mid-block, curve, two laned bridge and route applications. It is not designed to be used for urban and motorway applications. The accident prediction equations and B/C ratio procedures are based on those used in the Land Transport NZ Project Evaluation Manual.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best way to use this tool is to determine the crash and road parameters for each of the rural mid-block, rural curve and rural bridge pages (if all are needed) and then define the overall benefit cost ratio for a specified route using the route builder. Use the comment boxes attached to each parameter for explainations of their use and meaning
</a:t>
          </a:r>
          <a:r>
            <a:rPr lang="en-US" cap="none" sz="1100" b="0" i="1" u="none" baseline="0">
              <a:solidFill>
                <a:srgbClr val="000000"/>
              </a:solidFill>
              <a:latin typeface="Arial"/>
              <a:ea typeface="Arial"/>
              <a:cs typeface="Arial"/>
            </a:rPr>
            <a:t>Note: This application is best used in 'Full Screen' mode and macros must be</a:t>
          </a:r>
          <a:r>
            <a:rPr lang="en-US" cap="none" sz="1100" b="0" i="1" u="none" baseline="0">
              <a:solidFill>
                <a:srgbClr val="000000"/>
              </a:solidFill>
              <a:latin typeface="Arial"/>
              <a:ea typeface="Arial"/>
              <a:cs typeface="Arial"/>
            </a:rPr>
            <a:t> enabled</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Please choose one of the following applications:</a:t>
          </a:r>
        </a:p>
      </xdr:txBody>
    </xdr:sp>
    <xdr:clientData/>
  </xdr:twoCellAnchor>
  <xdr:twoCellAnchor>
    <xdr:from>
      <xdr:col>3</xdr:col>
      <xdr:colOff>28575</xdr:colOff>
      <xdr:row>22</xdr:row>
      <xdr:rowOff>152400</xdr:rowOff>
    </xdr:from>
    <xdr:to>
      <xdr:col>5</xdr:col>
      <xdr:colOff>571500</xdr:colOff>
      <xdr:row>25</xdr:row>
      <xdr:rowOff>95250</xdr:rowOff>
    </xdr:to>
    <xdr:sp>
      <xdr:nvSpPr>
        <xdr:cNvPr id="3" name="Text Box 3">
          <a:hlinkClick r:id="rId2"/>
        </xdr:cNvPr>
        <xdr:cNvSpPr txBox="1">
          <a:spLocks noChangeArrowheads="1"/>
        </xdr:cNvSpPr>
      </xdr:nvSpPr>
      <xdr:spPr>
        <a:xfrm>
          <a:off x="1857375" y="3952875"/>
          <a:ext cx="1762125" cy="428625"/>
        </a:xfrm>
        <a:prstGeom prst="rect">
          <a:avLst/>
        </a:prstGeom>
        <a:solidFill>
          <a:srgbClr val="CC99FF"/>
        </a:solidFill>
        <a:ln w="9525" cmpd="sng">
          <a:noFill/>
        </a:ln>
      </xdr:spPr>
      <xdr:txBody>
        <a:bodyPr vertOverflow="clip" wrap="square" lIns="36576" tIns="32004" rIns="36576" bIns="32004" anchor="ctr"/>
        <a:p>
          <a:pPr algn="ctr">
            <a:defRPr/>
          </a:pPr>
          <a:r>
            <a:rPr lang="en-US" cap="none" sz="1600" b="0" i="0" u="none" baseline="0">
              <a:solidFill>
                <a:srgbClr val="000000"/>
              </a:solidFill>
              <a:latin typeface="Arial"/>
              <a:ea typeface="Arial"/>
              <a:cs typeface="Arial"/>
            </a:rPr>
            <a:t>Rural mid-block</a:t>
          </a:r>
        </a:p>
      </xdr:txBody>
    </xdr:sp>
    <xdr:clientData/>
  </xdr:twoCellAnchor>
  <xdr:twoCellAnchor>
    <xdr:from>
      <xdr:col>6</xdr:col>
      <xdr:colOff>304800</xdr:colOff>
      <xdr:row>23</xdr:row>
      <xdr:rowOff>0</xdr:rowOff>
    </xdr:from>
    <xdr:to>
      <xdr:col>9</xdr:col>
      <xdr:colOff>238125</xdr:colOff>
      <xdr:row>25</xdr:row>
      <xdr:rowOff>104775</xdr:rowOff>
    </xdr:to>
    <xdr:sp>
      <xdr:nvSpPr>
        <xdr:cNvPr id="4" name="Text Box 4">
          <a:hlinkClick r:id="rId3"/>
        </xdr:cNvPr>
        <xdr:cNvSpPr txBox="1">
          <a:spLocks noChangeArrowheads="1"/>
        </xdr:cNvSpPr>
      </xdr:nvSpPr>
      <xdr:spPr>
        <a:xfrm>
          <a:off x="3962400" y="3962400"/>
          <a:ext cx="1762125" cy="428625"/>
        </a:xfrm>
        <a:prstGeom prst="rect">
          <a:avLst/>
        </a:prstGeom>
        <a:solidFill>
          <a:srgbClr val="FFFF00"/>
        </a:solidFill>
        <a:ln w="9525" cmpd="sng">
          <a:noFill/>
        </a:ln>
      </xdr:spPr>
      <xdr:txBody>
        <a:bodyPr vertOverflow="clip" wrap="square" lIns="36576" tIns="32004" rIns="36576" bIns="32004" anchor="ctr"/>
        <a:p>
          <a:pPr algn="ctr">
            <a:defRPr/>
          </a:pPr>
          <a:r>
            <a:rPr lang="en-US" cap="none" sz="1600" b="0" i="0" u="none" baseline="0">
              <a:solidFill>
                <a:srgbClr val="000000"/>
              </a:solidFill>
              <a:latin typeface="Arial"/>
              <a:ea typeface="Arial"/>
              <a:cs typeface="Arial"/>
            </a:rPr>
            <a:t>Rural curve</a:t>
          </a:r>
        </a:p>
      </xdr:txBody>
    </xdr:sp>
    <xdr:clientData/>
  </xdr:twoCellAnchor>
  <xdr:twoCellAnchor>
    <xdr:from>
      <xdr:col>9</xdr:col>
      <xdr:colOff>561975</xdr:colOff>
      <xdr:row>22</xdr:row>
      <xdr:rowOff>152400</xdr:rowOff>
    </xdr:from>
    <xdr:to>
      <xdr:col>12</xdr:col>
      <xdr:colOff>495300</xdr:colOff>
      <xdr:row>25</xdr:row>
      <xdr:rowOff>95250</xdr:rowOff>
    </xdr:to>
    <xdr:sp>
      <xdr:nvSpPr>
        <xdr:cNvPr id="5" name="Text Box 5">
          <a:hlinkClick r:id="rId4"/>
        </xdr:cNvPr>
        <xdr:cNvSpPr txBox="1">
          <a:spLocks noChangeArrowheads="1"/>
        </xdr:cNvSpPr>
      </xdr:nvSpPr>
      <xdr:spPr>
        <a:xfrm>
          <a:off x="6048375" y="3952875"/>
          <a:ext cx="1762125" cy="428625"/>
        </a:xfrm>
        <a:prstGeom prst="rect">
          <a:avLst/>
        </a:prstGeom>
        <a:solidFill>
          <a:srgbClr val="00FF00"/>
        </a:solidFill>
        <a:ln w="9525" cmpd="sng">
          <a:noFill/>
        </a:ln>
      </xdr:spPr>
      <xdr:txBody>
        <a:bodyPr vertOverflow="clip" wrap="square" lIns="36576" tIns="32004" rIns="36576" bIns="32004" anchor="ctr"/>
        <a:p>
          <a:pPr algn="ctr">
            <a:defRPr/>
          </a:pPr>
          <a:r>
            <a:rPr lang="en-US" cap="none" sz="1600" b="0" i="0" u="none" baseline="0">
              <a:solidFill>
                <a:srgbClr val="000000"/>
              </a:solidFill>
              <a:latin typeface="Arial"/>
              <a:ea typeface="Arial"/>
              <a:cs typeface="Arial"/>
            </a:rPr>
            <a:t>Rural bridge</a:t>
          </a:r>
        </a:p>
      </xdr:txBody>
    </xdr:sp>
    <xdr:clientData/>
  </xdr:twoCellAnchor>
  <xdr:twoCellAnchor>
    <xdr:from>
      <xdr:col>6</xdr:col>
      <xdr:colOff>200025</xdr:colOff>
      <xdr:row>26</xdr:row>
      <xdr:rowOff>47625</xdr:rowOff>
    </xdr:from>
    <xdr:to>
      <xdr:col>9</xdr:col>
      <xdr:colOff>371475</xdr:colOff>
      <xdr:row>29</xdr:row>
      <xdr:rowOff>0</xdr:rowOff>
    </xdr:to>
    <xdr:sp>
      <xdr:nvSpPr>
        <xdr:cNvPr id="6" name="Text Box 6">
          <a:hlinkClick r:id="rId5"/>
        </xdr:cNvPr>
        <xdr:cNvSpPr txBox="1">
          <a:spLocks noChangeArrowheads="1"/>
        </xdr:cNvSpPr>
      </xdr:nvSpPr>
      <xdr:spPr>
        <a:xfrm>
          <a:off x="3857625" y="4495800"/>
          <a:ext cx="2000250" cy="438150"/>
        </a:xfrm>
        <a:prstGeom prst="rect">
          <a:avLst/>
        </a:prstGeom>
        <a:gradFill rotWithShape="1">
          <a:gsLst>
            <a:gs pos="0">
              <a:srgbClr val="CC99FF"/>
            </a:gs>
            <a:gs pos="100000">
              <a:srgbClr val="FFFF00"/>
            </a:gs>
          </a:gsLst>
          <a:lin ang="0" scaled="1"/>
        </a:gradFill>
        <a:ln w="9525" cmpd="sng">
          <a:noFill/>
        </a:ln>
      </xdr:spPr>
      <xdr:txBody>
        <a:bodyPr vertOverflow="clip" wrap="square" lIns="36576" tIns="32004" rIns="36576" bIns="32004" anchor="ctr"/>
        <a:p>
          <a:pPr algn="ctr">
            <a:defRPr/>
          </a:pPr>
          <a:r>
            <a:rPr lang="en-US" cap="none" sz="1600" b="0" i="0" u="none" baseline="0">
              <a:solidFill>
                <a:srgbClr val="000000"/>
              </a:solidFill>
              <a:latin typeface="Arial"/>
              <a:ea typeface="Arial"/>
              <a:cs typeface="Arial"/>
            </a:rPr>
            <a:t>Route builder</a:t>
          </a:r>
        </a:p>
      </xdr:txBody>
    </xdr:sp>
    <xdr:clientData/>
  </xdr:twoCellAnchor>
  <xdr:twoCellAnchor>
    <xdr:from>
      <xdr:col>10</xdr:col>
      <xdr:colOff>95250</xdr:colOff>
      <xdr:row>2</xdr:row>
      <xdr:rowOff>142875</xdr:rowOff>
    </xdr:from>
    <xdr:to>
      <xdr:col>14</xdr:col>
      <xdr:colOff>495300</xdr:colOff>
      <xdr:row>21</xdr:row>
      <xdr:rowOff>66675</xdr:rowOff>
    </xdr:to>
    <xdr:sp>
      <xdr:nvSpPr>
        <xdr:cNvPr id="7" name="Text Box 7"/>
        <xdr:cNvSpPr txBox="1">
          <a:spLocks noChangeArrowheads="1"/>
        </xdr:cNvSpPr>
      </xdr:nvSpPr>
      <xdr:spPr>
        <a:xfrm>
          <a:off x="6191250" y="638175"/>
          <a:ext cx="2838450" cy="30670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Disclaimer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This tool was commissioned by Land Transport New Zealand.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While this tool is believed to be correct at the time of its preparation, Land Transport New Zealand, and its employees and agents involved in its preparation and publication, cannot accept any liability for its contents or for any consequences arising from its use.  People using the contents of the tool or associated documents, whether directly or indirectly, should apply and rely on their own skill and judgement.  They should not rely on its contents in isolation from other sources of advice and information.  If necessary, they should seek appropriate legal or other expert advice in relation to their own circumstances, and to the use of this tool.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This tool is the output of research and should not be construed in any way as policy adopted by Land Transport New Zealand but may be used in the formulation of future policy.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1</xdr:row>
      <xdr:rowOff>76200</xdr:rowOff>
    </xdr:from>
    <xdr:to>
      <xdr:col>7</xdr:col>
      <xdr:colOff>66675</xdr:colOff>
      <xdr:row>4</xdr:row>
      <xdr:rowOff>123825</xdr:rowOff>
    </xdr:to>
    <xdr:pic>
      <xdr:nvPicPr>
        <xdr:cNvPr id="1" name="Picture 76" descr="ternz"/>
        <xdr:cNvPicPr preferRelativeResize="1">
          <a:picLocks noChangeAspect="1"/>
        </xdr:cNvPicPr>
      </xdr:nvPicPr>
      <xdr:blipFill>
        <a:blip r:embed="rId1"/>
        <a:stretch>
          <a:fillRect/>
        </a:stretch>
      </xdr:blipFill>
      <xdr:spPr>
        <a:xfrm>
          <a:off x="6448425" y="419100"/>
          <a:ext cx="1466850" cy="628650"/>
        </a:xfrm>
        <a:prstGeom prst="rect">
          <a:avLst/>
        </a:prstGeom>
        <a:noFill/>
        <a:ln w="9525" cmpd="sng">
          <a:noFill/>
        </a:ln>
      </xdr:spPr>
    </xdr:pic>
    <xdr:clientData/>
  </xdr:twoCellAnchor>
  <xdr:twoCellAnchor>
    <xdr:from>
      <xdr:col>1</xdr:col>
      <xdr:colOff>266700</xdr:colOff>
      <xdr:row>1</xdr:row>
      <xdr:rowOff>85725</xdr:rowOff>
    </xdr:from>
    <xdr:to>
      <xdr:col>4</xdr:col>
      <xdr:colOff>142875</xdr:colOff>
      <xdr:row>3</xdr:row>
      <xdr:rowOff>95250</xdr:rowOff>
    </xdr:to>
    <xdr:sp>
      <xdr:nvSpPr>
        <xdr:cNvPr id="2" name="Text Box 91">
          <a:hlinkClick r:id="rId2"/>
        </xdr:cNvPr>
        <xdr:cNvSpPr txBox="1">
          <a:spLocks noChangeArrowheads="1"/>
        </xdr:cNvSpPr>
      </xdr:nvSpPr>
      <xdr:spPr>
        <a:xfrm>
          <a:off x="2428875" y="428625"/>
          <a:ext cx="1685925" cy="428625"/>
        </a:xfrm>
        <a:prstGeom prst="rect">
          <a:avLst/>
        </a:prstGeom>
        <a:solidFill>
          <a:srgbClr val="FFFF00"/>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Click here to go to </a:t>
          </a:r>
          <a:r>
            <a:rPr lang="en-US" cap="none" sz="1200" b="1" i="0" u="none" baseline="0">
              <a:solidFill>
                <a:srgbClr val="000000"/>
              </a:solidFill>
              <a:latin typeface="Arial"/>
              <a:ea typeface="Arial"/>
              <a:cs typeface="Arial"/>
            </a:rPr>
            <a:t>Rural Curve</a:t>
          </a:r>
          <a:r>
            <a:rPr lang="en-US" cap="none" sz="1200" b="0" i="0" u="none" baseline="0">
              <a:solidFill>
                <a:srgbClr val="000000"/>
              </a:solidFill>
              <a:latin typeface="Arial"/>
              <a:ea typeface="Arial"/>
              <a:cs typeface="Arial"/>
            </a:rPr>
            <a:t> tool</a:t>
          </a:r>
        </a:p>
      </xdr:txBody>
    </xdr:sp>
    <xdr:clientData/>
  </xdr:twoCellAnchor>
  <xdr:twoCellAnchor>
    <xdr:from>
      <xdr:col>4</xdr:col>
      <xdr:colOff>361950</xdr:colOff>
      <xdr:row>1</xdr:row>
      <xdr:rowOff>85725</xdr:rowOff>
    </xdr:from>
    <xdr:to>
      <xdr:col>5</xdr:col>
      <xdr:colOff>104775</xdr:colOff>
      <xdr:row>3</xdr:row>
      <xdr:rowOff>95250</xdr:rowOff>
    </xdr:to>
    <xdr:sp>
      <xdr:nvSpPr>
        <xdr:cNvPr id="3" name="Text Box 92">
          <a:hlinkClick r:id="rId3"/>
        </xdr:cNvPr>
        <xdr:cNvSpPr txBox="1">
          <a:spLocks noChangeArrowheads="1"/>
        </xdr:cNvSpPr>
      </xdr:nvSpPr>
      <xdr:spPr>
        <a:xfrm>
          <a:off x="4333875" y="428625"/>
          <a:ext cx="1685925" cy="428625"/>
        </a:xfrm>
        <a:prstGeom prst="rect">
          <a:avLst/>
        </a:prstGeom>
        <a:solidFill>
          <a:srgbClr val="00FF00"/>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Click here to go to </a:t>
          </a:r>
          <a:r>
            <a:rPr lang="en-US" cap="none" sz="1200" b="1" i="0" u="none" baseline="0">
              <a:solidFill>
                <a:srgbClr val="000000"/>
              </a:solidFill>
              <a:latin typeface="Arial"/>
              <a:ea typeface="Arial"/>
              <a:cs typeface="Arial"/>
            </a:rPr>
            <a:t>Rural Bridge</a:t>
          </a:r>
          <a:r>
            <a:rPr lang="en-US" cap="none" sz="1200" b="0" i="0" u="none" baseline="0">
              <a:solidFill>
                <a:srgbClr val="000000"/>
              </a:solidFill>
              <a:latin typeface="Arial"/>
              <a:ea typeface="Arial"/>
              <a:cs typeface="Arial"/>
            </a:rPr>
            <a:t> tool</a:t>
          </a:r>
        </a:p>
      </xdr:txBody>
    </xdr:sp>
    <xdr:clientData/>
  </xdr:twoCellAnchor>
  <xdr:twoCellAnchor>
    <xdr:from>
      <xdr:col>0</xdr:col>
      <xdr:colOff>438150</xdr:colOff>
      <xdr:row>25</xdr:row>
      <xdr:rowOff>76200</xdr:rowOff>
    </xdr:from>
    <xdr:to>
      <xdr:col>2</xdr:col>
      <xdr:colOff>666750</xdr:colOff>
      <xdr:row>27</xdr:row>
      <xdr:rowOff>190500</xdr:rowOff>
    </xdr:to>
    <xdr:sp>
      <xdr:nvSpPr>
        <xdr:cNvPr id="4" name="Text Box 107">
          <a:hlinkClick r:id="rId4"/>
        </xdr:cNvPr>
        <xdr:cNvSpPr txBox="1">
          <a:spLocks noChangeArrowheads="1"/>
        </xdr:cNvSpPr>
      </xdr:nvSpPr>
      <xdr:spPr>
        <a:xfrm>
          <a:off x="438150" y="5886450"/>
          <a:ext cx="2867025" cy="552450"/>
        </a:xfrm>
        <a:prstGeom prst="rect">
          <a:avLst/>
        </a:prstGeom>
        <a:gradFill rotWithShape="1">
          <a:gsLst>
            <a:gs pos="0">
              <a:srgbClr val="CC99FF"/>
            </a:gs>
            <a:gs pos="100000">
              <a:srgbClr val="FFFF00"/>
            </a:gs>
          </a:gsLst>
          <a:lin ang="0" scaled="1"/>
        </a:gradFill>
        <a:ln w="9525" cmpd="sng">
          <a:noFill/>
        </a:ln>
      </xdr:spPr>
      <xdr:txBody>
        <a:bodyPr vertOverflow="clip" wrap="square" lIns="36576" tIns="27432" rIns="0" bIns="27432" anchor="ctr"/>
        <a:p>
          <a:pPr algn="l">
            <a:defRPr/>
          </a:pPr>
          <a:r>
            <a:rPr lang="en-US" cap="none" sz="1200" b="1" i="0" u="none" baseline="0">
              <a:solidFill>
                <a:srgbClr val="000000"/>
              </a:solidFill>
              <a:latin typeface="Arial"/>
              <a:ea typeface="Arial"/>
              <a:cs typeface="Arial"/>
            </a:rPr>
            <a:t>Click here to go to the
</a:t>
          </a:r>
          <a:r>
            <a:rPr lang="en-US" cap="none" sz="1600" b="1" i="0" u="none" baseline="0">
              <a:solidFill>
                <a:srgbClr val="000000"/>
              </a:solidFill>
              <a:latin typeface="Arial"/>
              <a:ea typeface="Arial"/>
              <a:cs typeface="Arial"/>
            </a:rPr>
            <a:t>Route builder</a:t>
          </a:r>
        </a:p>
      </xdr:txBody>
    </xdr:sp>
    <xdr:clientData/>
  </xdr:twoCellAnchor>
  <xdr:twoCellAnchor>
    <xdr:from>
      <xdr:col>0</xdr:col>
      <xdr:colOff>428625</xdr:colOff>
      <xdr:row>28</xdr:row>
      <xdr:rowOff>238125</xdr:rowOff>
    </xdr:from>
    <xdr:to>
      <xdr:col>2</xdr:col>
      <xdr:colOff>619125</xdr:colOff>
      <xdr:row>34</xdr:row>
      <xdr:rowOff>9525</xdr:rowOff>
    </xdr:to>
    <xdr:sp>
      <xdr:nvSpPr>
        <xdr:cNvPr id="5" name="TextBox 8"/>
        <xdr:cNvSpPr txBox="1">
          <a:spLocks noChangeArrowheads="1"/>
        </xdr:cNvSpPr>
      </xdr:nvSpPr>
      <xdr:spPr>
        <a:xfrm>
          <a:off x="428625" y="6705600"/>
          <a:ext cx="2828925" cy="1143000"/>
        </a:xfrm>
        <a:prstGeom prst="rect">
          <a:avLst/>
        </a:prstGeom>
        <a:solidFill>
          <a:srgbClr val="FF0000"/>
        </a:solidFill>
        <a:ln w="9525" cmpd="sng">
          <a:solidFill>
            <a:srgbClr val="BCBCBC"/>
          </a:solidFill>
          <a:headEnd type="none"/>
          <a:tailEnd type="none"/>
        </a:ln>
      </xdr:spPr>
      <xdr:txBody>
        <a:bodyPr vertOverflow="clip" wrap="square" lIns="91440" tIns="45720" rIns="91440" bIns="45720"/>
        <a:p>
          <a:pPr algn="l">
            <a:defRPr/>
          </a:pPr>
          <a:r>
            <a:rPr lang="en-US" cap="none" sz="1400" b="1" i="0" u="none" baseline="0">
              <a:solidFill>
                <a:srgbClr val="000000"/>
              </a:solidFill>
              <a:latin typeface="Calibri"/>
              <a:ea typeface="Calibri"/>
              <a:cs typeface="Calibri"/>
            </a:rPr>
            <a:t>Important Notice:
</a:t>
          </a:r>
          <a:r>
            <a:rPr lang="en-US" cap="none" sz="1200" b="0" i="0" u="none" baseline="0">
              <a:solidFill>
                <a:srgbClr val="000000"/>
              </a:solidFill>
              <a:latin typeface="Calibri"/>
              <a:ea typeface="Calibri"/>
              <a:cs typeface="Calibri"/>
            </a:rPr>
            <a:t>Please</a:t>
          </a:r>
          <a:r>
            <a:rPr lang="en-US" cap="none" sz="1200" b="0" i="0" u="none" baseline="0">
              <a:solidFill>
                <a:srgbClr val="000000"/>
              </a:solidFill>
              <a:latin typeface="Calibri"/>
              <a:ea typeface="Calibri"/>
              <a:cs typeface="Calibri"/>
            </a:rPr>
            <a:t> consider, and change accordingly, the treatment crash reduction factor when making any delineation improvement changes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514350</xdr:colOff>
      <xdr:row>1</xdr:row>
      <xdr:rowOff>76200</xdr:rowOff>
    </xdr:from>
    <xdr:to>
      <xdr:col>7</xdr:col>
      <xdr:colOff>47625</xdr:colOff>
      <xdr:row>4</xdr:row>
      <xdr:rowOff>123825</xdr:rowOff>
    </xdr:to>
    <xdr:pic>
      <xdr:nvPicPr>
        <xdr:cNvPr id="1" name="Picture 106" descr="ternz"/>
        <xdr:cNvPicPr preferRelativeResize="1">
          <a:picLocks noChangeAspect="1"/>
        </xdr:cNvPicPr>
      </xdr:nvPicPr>
      <xdr:blipFill>
        <a:blip r:embed="rId1"/>
        <a:stretch>
          <a:fillRect/>
        </a:stretch>
      </xdr:blipFill>
      <xdr:spPr>
        <a:xfrm>
          <a:off x="6429375" y="419100"/>
          <a:ext cx="1466850" cy="628650"/>
        </a:xfrm>
        <a:prstGeom prst="rect">
          <a:avLst/>
        </a:prstGeom>
        <a:noFill/>
        <a:ln w="9525" cmpd="sng">
          <a:noFill/>
        </a:ln>
      </xdr:spPr>
    </xdr:pic>
    <xdr:clientData/>
  </xdr:twoCellAnchor>
  <xdr:twoCellAnchor>
    <xdr:from>
      <xdr:col>1</xdr:col>
      <xdr:colOff>247650</xdr:colOff>
      <xdr:row>1</xdr:row>
      <xdr:rowOff>85725</xdr:rowOff>
    </xdr:from>
    <xdr:to>
      <xdr:col>4</xdr:col>
      <xdr:colOff>123825</xdr:colOff>
      <xdr:row>3</xdr:row>
      <xdr:rowOff>95250</xdr:rowOff>
    </xdr:to>
    <xdr:sp>
      <xdr:nvSpPr>
        <xdr:cNvPr id="2" name="Text Box 155">
          <a:hlinkClick r:id="rId2"/>
        </xdr:cNvPr>
        <xdr:cNvSpPr txBox="1">
          <a:spLocks noChangeArrowheads="1"/>
        </xdr:cNvSpPr>
      </xdr:nvSpPr>
      <xdr:spPr>
        <a:xfrm>
          <a:off x="2409825" y="428625"/>
          <a:ext cx="1685925" cy="428625"/>
        </a:xfrm>
        <a:prstGeom prst="rect">
          <a:avLst/>
        </a:prstGeom>
        <a:solidFill>
          <a:srgbClr val="CC99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Click here to go to </a:t>
          </a:r>
          <a:r>
            <a:rPr lang="en-US" cap="none" sz="1200" b="1" i="0" u="none" baseline="0">
              <a:solidFill>
                <a:srgbClr val="000000"/>
              </a:solidFill>
              <a:latin typeface="Arial"/>
              <a:ea typeface="Arial"/>
              <a:cs typeface="Arial"/>
            </a:rPr>
            <a:t>Rural Mid-block</a:t>
          </a:r>
          <a:r>
            <a:rPr lang="en-US" cap="none" sz="1200" b="0" i="0" u="none" baseline="0">
              <a:solidFill>
                <a:srgbClr val="000000"/>
              </a:solidFill>
              <a:latin typeface="Arial"/>
              <a:ea typeface="Arial"/>
              <a:cs typeface="Arial"/>
            </a:rPr>
            <a:t> tool</a:t>
          </a:r>
        </a:p>
      </xdr:txBody>
    </xdr:sp>
    <xdr:clientData/>
  </xdr:twoCellAnchor>
  <xdr:twoCellAnchor>
    <xdr:from>
      <xdr:col>4</xdr:col>
      <xdr:colOff>333375</xdr:colOff>
      <xdr:row>1</xdr:row>
      <xdr:rowOff>85725</xdr:rowOff>
    </xdr:from>
    <xdr:to>
      <xdr:col>5</xdr:col>
      <xdr:colOff>76200</xdr:colOff>
      <xdr:row>3</xdr:row>
      <xdr:rowOff>95250</xdr:rowOff>
    </xdr:to>
    <xdr:sp>
      <xdr:nvSpPr>
        <xdr:cNvPr id="3" name="Text Box 156">
          <a:hlinkClick r:id="rId3"/>
        </xdr:cNvPr>
        <xdr:cNvSpPr txBox="1">
          <a:spLocks noChangeArrowheads="1"/>
        </xdr:cNvSpPr>
      </xdr:nvSpPr>
      <xdr:spPr>
        <a:xfrm>
          <a:off x="4305300" y="428625"/>
          <a:ext cx="1685925" cy="428625"/>
        </a:xfrm>
        <a:prstGeom prst="rect">
          <a:avLst/>
        </a:prstGeom>
        <a:solidFill>
          <a:srgbClr val="00FF00"/>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Click here to go to </a:t>
          </a:r>
          <a:r>
            <a:rPr lang="en-US" cap="none" sz="1200" b="1" i="0" u="none" baseline="0">
              <a:solidFill>
                <a:srgbClr val="000000"/>
              </a:solidFill>
              <a:latin typeface="Arial"/>
              <a:ea typeface="Arial"/>
              <a:cs typeface="Arial"/>
            </a:rPr>
            <a:t>Rural Bridge</a:t>
          </a:r>
          <a:r>
            <a:rPr lang="en-US" cap="none" sz="1200" b="0" i="0" u="none" baseline="0">
              <a:solidFill>
                <a:srgbClr val="000000"/>
              </a:solidFill>
              <a:latin typeface="Arial"/>
              <a:ea typeface="Arial"/>
              <a:cs typeface="Arial"/>
            </a:rPr>
            <a:t> tool</a:t>
          </a:r>
        </a:p>
      </xdr:txBody>
    </xdr:sp>
    <xdr:clientData/>
  </xdr:twoCellAnchor>
  <xdr:twoCellAnchor>
    <xdr:from>
      <xdr:col>0</xdr:col>
      <xdr:colOff>447675</xdr:colOff>
      <xdr:row>29</xdr:row>
      <xdr:rowOff>9525</xdr:rowOff>
    </xdr:from>
    <xdr:to>
      <xdr:col>2</xdr:col>
      <xdr:colOff>676275</xdr:colOff>
      <xdr:row>31</xdr:row>
      <xdr:rowOff>57150</xdr:rowOff>
    </xdr:to>
    <xdr:sp>
      <xdr:nvSpPr>
        <xdr:cNvPr id="4" name="Text Box 244">
          <a:hlinkClick r:id="rId4"/>
        </xdr:cNvPr>
        <xdr:cNvSpPr txBox="1">
          <a:spLocks noChangeArrowheads="1"/>
        </xdr:cNvSpPr>
      </xdr:nvSpPr>
      <xdr:spPr>
        <a:xfrm>
          <a:off x="447675" y="6734175"/>
          <a:ext cx="2867025" cy="533400"/>
        </a:xfrm>
        <a:prstGeom prst="rect">
          <a:avLst/>
        </a:prstGeom>
        <a:gradFill rotWithShape="1">
          <a:gsLst>
            <a:gs pos="0">
              <a:srgbClr val="CC99FF"/>
            </a:gs>
            <a:gs pos="100000">
              <a:srgbClr val="FFFF00"/>
            </a:gs>
          </a:gsLst>
          <a:lin ang="0" scaled="1"/>
        </a:gradFill>
        <a:ln w="9525" cmpd="sng">
          <a:noFill/>
        </a:ln>
      </xdr:spPr>
      <xdr:txBody>
        <a:bodyPr vertOverflow="clip" wrap="square" lIns="36576" tIns="27432" rIns="0" bIns="27432" anchor="ctr"/>
        <a:p>
          <a:pPr algn="l">
            <a:defRPr/>
          </a:pPr>
          <a:r>
            <a:rPr lang="en-US" cap="none" sz="1200" b="1" i="0" u="none" baseline="0">
              <a:solidFill>
                <a:srgbClr val="000000"/>
              </a:solidFill>
              <a:latin typeface="Arial"/>
              <a:ea typeface="Arial"/>
              <a:cs typeface="Arial"/>
            </a:rPr>
            <a:t>Click here to go to the
</a:t>
          </a:r>
          <a:r>
            <a:rPr lang="en-US" cap="none" sz="1600" b="1" i="0" u="none" baseline="0">
              <a:solidFill>
                <a:srgbClr val="000000"/>
              </a:solidFill>
              <a:latin typeface="Arial"/>
              <a:ea typeface="Arial"/>
              <a:cs typeface="Arial"/>
            </a:rPr>
            <a:t>Route builder</a:t>
          </a:r>
        </a:p>
      </xdr:txBody>
    </xdr:sp>
    <xdr:clientData/>
  </xdr:twoCellAnchor>
  <xdr:twoCellAnchor>
    <xdr:from>
      <xdr:col>0</xdr:col>
      <xdr:colOff>438150</xdr:colOff>
      <xdr:row>32</xdr:row>
      <xdr:rowOff>19050</xdr:rowOff>
    </xdr:from>
    <xdr:to>
      <xdr:col>2</xdr:col>
      <xdr:colOff>628650</xdr:colOff>
      <xdr:row>37</xdr:row>
      <xdr:rowOff>57150</xdr:rowOff>
    </xdr:to>
    <xdr:sp>
      <xdr:nvSpPr>
        <xdr:cNvPr id="5" name="TextBox 8"/>
        <xdr:cNvSpPr txBox="1">
          <a:spLocks noChangeArrowheads="1"/>
        </xdr:cNvSpPr>
      </xdr:nvSpPr>
      <xdr:spPr>
        <a:xfrm>
          <a:off x="438150" y="7496175"/>
          <a:ext cx="2828925" cy="1143000"/>
        </a:xfrm>
        <a:prstGeom prst="rect">
          <a:avLst/>
        </a:prstGeom>
        <a:solidFill>
          <a:srgbClr val="FF0000"/>
        </a:solidFill>
        <a:ln w="9525" cmpd="sng">
          <a:solidFill>
            <a:srgbClr val="BCBCBC"/>
          </a:solidFill>
          <a:headEnd type="none"/>
          <a:tailEnd type="none"/>
        </a:ln>
      </xdr:spPr>
      <xdr:txBody>
        <a:bodyPr vertOverflow="clip" wrap="square" lIns="91440" tIns="45720" rIns="91440" bIns="45720"/>
        <a:p>
          <a:pPr algn="l">
            <a:defRPr/>
          </a:pPr>
          <a:r>
            <a:rPr lang="en-US" cap="none" sz="1400" b="1" i="0" u="none" baseline="0">
              <a:solidFill>
                <a:srgbClr val="000000"/>
              </a:solidFill>
              <a:latin typeface="Calibri"/>
              <a:ea typeface="Calibri"/>
              <a:cs typeface="Calibri"/>
            </a:rPr>
            <a:t>Important Notice:
</a:t>
          </a:r>
          <a:r>
            <a:rPr lang="en-US" cap="none" sz="1200" b="0" i="0" u="none" baseline="0">
              <a:solidFill>
                <a:srgbClr val="000000"/>
              </a:solidFill>
              <a:latin typeface="Calibri"/>
              <a:ea typeface="Calibri"/>
              <a:cs typeface="Calibri"/>
            </a:rPr>
            <a:t>Please</a:t>
          </a:r>
          <a:r>
            <a:rPr lang="en-US" cap="none" sz="1200" b="0" i="0" u="none" baseline="0">
              <a:solidFill>
                <a:srgbClr val="000000"/>
              </a:solidFill>
              <a:latin typeface="Calibri"/>
              <a:ea typeface="Calibri"/>
              <a:cs typeface="Calibri"/>
            </a:rPr>
            <a:t> consider, and change accordingly, the treatment crash reduction factor when making any delineation improvement changes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1</xdr:row>
      <xdr:rowOff>104775</xdr:rowOff>
    </xdr:from>
    <xdr:to>
      <xdr:col>7</xdr:col>
      <xdr:colOff>66675</xdr:colOff>
      <xdr:row>4</xdr:row>
      <xdr:rowOff>152400</xdr:rowOff>
    </xdr:to>
    <xdr:pic>
      <xdr:nvPicPr>
        <xdr:cNvPr id="1" name="Picture 87" descr="ternz"/>
        <xdr:cNvPicPr preferRelativeResize="1">
          <a:picLocks noChangeAspect="1"/>
        </xdr:cNvPicPr>
      </xdr:nvPicPr>
      <xdr:blipFill>
        <a:blip r:embed="rId1"/>
        <a:stretch>
          <a:fillRect/>
        </a:stretch>
      </xdr:blipFill>
      <xdr:spPr>
        <a:xfrm>
          <a:off x="6543675" y="447675"/>
          <a:ext cx="1466850" cy="628650"/>
        </a:xfrm>
        <a:prstGeom prst="rect">
          <a:avLst/>
        </a:prstGeom>
        <a:noFill/>
        <a:ln w="9525" cmpd="sng">
          <a:noFill/>
        </a:ln>
      </xdr:spPr>
    </xdr:pic>
    <xdr:clientData/>
  </xdr:twoCellAnchor>
  <xdr:twoCellAnchor>
    <xdr:from>
      <xdr:col>4</xdr:col>
      <xdr:colOff>342900</xdr:colOff>
      <xdr:row>1</xdr:row>
      <xdr:rowOff>76200</xdr:rowOff>
    </xdr:from>
    <xdr:to>
      <xdr:col>5</xdr:col>
      <xdr:colOff>104775</xdr:colOff>
      <xdr:row>3</xdr:row>
      <xdr:rowOff>85725</xdr:rowOff>
    </xdr:to>
    <xdr:sp>
      <xdr:nvSpPr>
        <xdr:cNvPr id="2" name="Text Box 137">
          <a:hlinkClick r:id="rId2"/>
        </xdr:cNvPr>
        <xdr:cNvSpPr txBox="1">
          <a:spLocks noChangeArrowheads="1"/>
        </xdr:cNvSpPr>
      </xdr:nvSpPr>
      <xdr:spPr>
        <a:xfrm>
          <a:off x="4400550" y="419100"/>
          <a:ext cx="1714500" cy="428625"/>
        </a:xfrm>
        <a:prstGeom prst="rect">
          <a:avLst/>
        </a:prstGeom>
        <a:solidFill>
          <a:srgbClr val="FFFF00"/>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Click here to go to </a:t>
          </a:r>
          <a:r>
            <a:rPr lang="en-US" cap="none" sz="1200" b="1" i="0" u="none" baseline="0">
              <a:solidFill>
                <a:srgbClr val="000000"/>
              </a:solidFill>
              <a:latin typeface="Arial"/>
              <a:ea typeface="Arial"/>
              <a:cs typeface="Arial"/>
            </a:rPr>
            <a:t>Rural Curve</a:t>
          </a:r>
          <a:r>
            <a:rPr lang="en-US" cap="none" sz="1200" b="0" i="0" u="none" baseline="0">
              <a:solidFill>
                <a:srgbClr val="000000"/>
              </a:solidFill>
              <a:latin typeface="Arial"/>
              <a:ea typeface="Arial"/>
              <a:cs typeface="Arial"/>
            </a:rPr>
            <a:t> tool</a:t>
          </a:r>
        </a:p>
      </xdr:txBody>
    </xdr:sp>
    <xdr:clientData/>
  </xdr:twoCellAnchor>
  <xdr:twoCellAnchor>
    <xdr:from>
      <xdr:col>1</xdr:col>
      <xdr:colOff>247650</xdr:colOff>
      <xdr:row>1</xdr:row>
      <xdr:rowOff>76200</xdr:rowOff>
    </xdr:from>
    <xdr:to>
      <xdr:col>4</xdr:col>
      <xdr:colOff>123825</xdr:colOff>
      <xdr:row>3</xdr:row>
      <xdr:rowOff>85725</xdr:rowOff>
    </xdr:to>
    <xdr:sp>
      <xdr:nvSpPr>
        <xdr:cNvPr id="3" name="Text Box 138">
          <a:hlinkClick r:id="rId3"/>
        </xdr:cNvPr>
        <xdr:cNvSpPr txBox="1">
          <a:spLocks noChangeArrowheads="1"/>
        </xdr:cNvSpPr>
      </xdr:nvSpPr>
      <xdr:spPr>
        <a:xfrm>
          <a:off x="2543175" y="419100"/>
          <a:ext cx="1638300" cy="428625"/>
        </a:xfrm>
        <a:prstGeom prst="rect">
          <a:avLst/>
        </a:prstGeom>
        <a:solidFill>
          <a:srgbClr val="CC99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Click here to go to </a:t>
          </a:r>
          <a:r>
            <a:rPr lang="en-US" cap="none" sz="1200" b="1" i="0" u="none" baseline="0">
              <a:solidFill>
                <a:srgbClr val="000000"/>
              </a:solidFill>
              <a:latin typeface="Arial"/>
              <a:ea typeface="Arial"/>
              <a:cs typeface="Arial"/>
            </a:rPr>
            <a:t>Rural Mid-block</a:t>
          </a:r>
          <a:r>
            <a:rPr lang="en-US" cap="none" sz="1200" b="0" i="0" u="none" baseline="0">
              <a:solidFill>
                <a:srgbClr val="000000"/>
              </a:solidFill>
              <a:latin typeface="Arial"/>
              <a:ea typeface="Arial"/>
              <a:cs typeface="Arial"/>
            </a:rPr>
            <a:t> tool</a:t>
          </a:r>
        </a:p>
      </xdr:txBody>
    </xdr:sp>
    <xdr:clientData/>
  </xdr:twoCellAnchor>
  <xdr:twoCellAnchor>
    <xdr:from>
      <xdr:col>0</xdr:col>
      <xdr:colOff>485775</xdr:colOff>
      <xdr:row>25</xdr:row>
      <xdr:rowOff>76200</xdr:rowOff>
    </xdr:from>
    <xdr:to>
      <xdr:col>2</xdr:col>
      <xdr:colOff>581025</xdr:colOff>
      <xdr:row>28</xdr:row>
      <xdr:rowOff>9525</xdr:rowOff>
    </xdr:to>
    <xdr:sp>
      <xdr:nvSpPr>
        <xdr:cNvPr id="4" name="Text Box 191">
          <a:hlinkClick r:id="rId4"/>
        </xdr:cNvPr>
        <xdr:cNvSpPr txBox="1">
          <a:spLocks noChangeArrowheads="1"/>
        </xdr:cNvSpPr>
      </xdr:nvSpPr>
      <xdr:spPr>
        <a:xfrm>
          <a:off x="485775" y="5915025"/>
          <a:ext cx="2867025" cy="561975"/>
        </a:xfrm>
        <a:prstGeom prst="rect">
          <a:avLst/>
        </a:prstGeom>
        <a:gradFill rotWithShape="1">
          <a:gsLst>
            <a:gs pos="0">
              <a:srgbClr val="CC99FF"/>
            </a:gs>
            <a:gs pos="100000">
              <a:srgbClr val="FFFF00"/>
            </a:gs>
          </a:gsLst>
          <a:lin ang="0" scaled="1"/>
        </a:gradFill>
        <a:ln w="9525" cmpd="sng">
          <a:noFill/>
        </a:ln>
      </xdr:spPr>
      <xdr:txBody>
        <a:bodyPr vertOverflow="clip" wrap="square" lIns="36576" tIns="27432" rIns="0" bIns="27432" anchor="ctr"/>
        <a:p>
          <a:pPr algn="l">
            <a:defRPr/>
          </a:pPr>
          <a:r>
            <a:rPr lang="en-US" cap="none" sz="1200" b="1" i="0" u="none" baseline="0">
              <a:solidFill>
                <a:srgbClr val="000000"/>
              </a:solidFill>
              <a:latin typeface="Arial"/>
              <a:ea typeface="Arial"/>
              <a:cs typeface="Arial"/>
            </a:rPr>
            <a:t>Click here to go to the
</a:t>
          </a:r>
          <a:r>
            <a:rPr lang="en-US" cap="none" sz="1600" b="1" i="0" u="none" baseline="0">
              <a:solidFill>
                <a:srgbClr val="000000"/>
              </a:solidFill>
              <a:latin typeface="Arial"/>
              <a:ea typeface="Arial"/>
              <a:cs typeface="Arial"/>
            </a:rPr>
            <a:t>Route builder</a:t>
          </a:r>
        </a:p>
      </xdr:txBody>
    </xdr:sp>
    <xdr:clientData/>
  </xdr:twoCellAnchor>
  <xdr:twoCellAnchor>
    <xdr:from>
      <xdr:col>0</xdr:col>
      <xdr:colOff>476250</xdr:colOff>
      <xdr:row>29</xdr:row>
      <xdr:rowOff>47625</xdr:rowOff>
    </xdr:from>
    <xdr:to>
      <xdr:col>2</xdr:col>
      <xdr:colOff>533400</xdr:colOff>
      <xdr:row>34</xdr:row>
      <xdr:rowOff>47625</xdr:rowOff>
    </xdr:to>
    <xdr:sp>
      <xdr:nvSpPr>
        <xdr:cNvPr id="5" name="TextBox 8"/>
        <xdr:cNvSpPr txBox="1">
          <a:spLocks noChangeArrowheads="1"/>
        </xdr:cNvSpPr>
      </xdr:nvSpPr>
      <xdr:spPr>
        <a:xfrm>
          <a:off x="476250" y="6762750"/>
          <a:ext cx="2828925" cy="1143000"/>
        </a:xfrm>
        <a:prstGeom prst="rect">
          <a:avLst/>
        </a:prstGeom>
        <a:solidFill>
          <a:srgbClr val="FF0000"/>
        </a:solidFill>
        <a:ln w="9525" cmpd="sng">
          <a:solidFill>
            <a:srgbClr val="BCBCBC"/>
          </a:solidFill>
          <a:headEnd type="none"/>
          <a:tailEnd type="none"/>
        </a:ln>
      </xdr:spPr>
      <xdr:txBody>
        <a:bodyPr vertOverflow="clip" wrap="square" lIns="91440" tIns="45720" rIns="91440" bIns="45720"/>
        <a:p>
          <a:pPr algn="l">
            <a:defRPr/>
          </a:pPr>
          <a:r>
            <a:rPr lang="en-US" cap="none" sz="1400" b="1" i="0" u="none" baseline="0">
              <a:solidFill>
                <a:srgbClr val="000000"/>
              </a:solidFill>
              <a:latin typeface="Calibri"/>
              <a:ea typeface="Calibri"/>
              <a:cs typeface="Calibri"/>
            </a:rPr>
            <a:t>Important Notice:
</a:t>
          </a:r>
          <a:r>
            <a:rPr lang="en-US" cap="none" sz="1200" b="0" i="0" u="none" baseline="0">
              <a:solidFill>
                <a:srgbClr val="000000"/>
              </a:solidFill>
              <a:latin typeface="Calibri"/>
              <a:ea typeface="Calibri"/>
              <a:cs typeface="Calibri"/>
            </a:rPr>
            <a:t>Please</a:t>
          </a:r>
          <a:r>
            <a:rPr lang="en-US" cap="none" sz="1200" b="0" i="0" u="none" baseline="0">
              <a:solidFill>
                <a:srgbClr val="000000"/>
              </a:solidFill>
              <a:latin typeface="Calibri"/>
              <a:ea typeface="Calibri"/>
              <a:cs typeface="Calibri"/>
            </a:rPr>
            <a:t> consider, and change accordingly, the treatment crash reduction factor when making any delineation improvement changes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5</xdr:row>
      <xdr:rowOff>0</xdr:rowOff>
    </xdr:from>
    <xdr:to>
      <xdr:col>2</xdr:col>
      <xdr:colOff>619125</xdr:colOff>
      <xdr:row>5</xdr:row>
      <xdr:rowOff>0</xdr:rowOff>
    </xdr:to>
    <xdr:sp>
      <xdr:nvSpPr>
        <xdr:cNvPr id="1" name="Text Box 17">
          <a:hlinkClick r:id="rId1"/>
        </xdr:cNvPr>
        <xdr:cNvSpPr txBox="1">
          <a:spLocks noChangeArrowheads="1"/>
        </xdr:cNvSpPr>
      </xdr:nvSpPr>
      <xdr:spPr>
        <a:xfrm>
          <a:off x="400050" y="1257300"/>
          <a:ext cx="4057650" cy="0"/>
        </a:xfrm>
        <a:prstGeom prst="rect">
          <a:avLst/>
        </a:prstGeom>
        <a:solidFill>
          <a:srgbClr val="FF0000"/>
        </a:solidFill>
        <a:ln w="25400" cmpd="sng">
          <a:noFill/>
        </a:ln>
      </xdr:spPr>
      <xdr:txBody>
        <a:bodyPr vertOverflow="clip" wrap="square" lIns="27432" tIns="22860" rIns="27432" bIns="22860" anchor="ctr"/>
        <a:p>
          <a:pPr algn="ctr">
            <a:defRPr/>
          </a:pPr>
          <a:r>
            <a:rPr lang="en-US" cap="none" sz="1000" b="1" i="0" u="none" baseline="0">
              <a:solidFill>
                <a:srgbClr val="FFFFFF"/>
              </a:solidFill>
              <a:latin typeface="Arial"/>
              <a:ea typeface="Arial"/>
              <a:cs typeface="Arial"/>
            </a:rPr>
            <a:t>Click here to go to supporting 
</a:t>
          </a:r>
          <a:r>
            <a:rPr lang="en-US" cap="none" sz="1000" b="1" i="0" u="none" baseline="0">
              <a:solidFill>
                <a:srgbClr val="FFFFFF"/>
              </a:solidFill>
              <a:latin typeface="Arial"/>
              <a:ea typeface="Arial"/>
              <a:cs typeface="Arial"/>
            </a:rPr>
            <a:t>documentation on delineation benefits</a:t>
          </a:r>
        </a:p>
      </xdr:txBody>
    </xdr:sp>
    <xdr:clientData/>
  </xdr:twoCellAnchor>
  <xdr:twoCellAnchor>
    <xdr:from>
      <xdr:col>5</xdr:col>
      <xdr:colOff>533400</xdr:colOff>
      <xdr:row>1</xdr:row>
      <xdr:rowOff>76200</xdr:rowOff>
    </xdr:from>
    <xdr:to>
      <xdr:col>7</xdr:col>
      <xdr:colOff>66675</xdr:colOff>
      <xdr:row>4</xdr:row>
      <xdr:rowOff>123825</xdr:rowOff>
    </xdr:to>
    <xdr:pic>
      <xdr:nvPicPr>
        <xdr:cNvPr id="2" name="Picture 18" descr="ternz"/>
        <xdr:cNvPicPr preferRelativeResize="1">
          <a:picLocks noChangeAspect="1"/>
        </xdr:cNvPicPr>
      </xdr:nvPicPr>
      <xdr:blipFill>
        <a:blip r:embed="rId2"/>
        <a:stretch>
          <a:fillRect/>
        </a:stretch>
      </xdr:blipFill>
      <xdr:spPr>
        <a:xfrm>
          <a:off x="8162925" y="419100"/>
          <a:ext cx="1466850" cy="704850"/>
        </a:xfrm>
        <a:prstGeom prst="rect">
          <a:avLst/>
        </a:prstGeom>
        <a:noFill/>
        <a:ln w="9525" cmpd="sng">
          <a:noFill/>
        </a:ln>
      </xdr:spPr>
    </xdr:pic>
    <xdr:clientData/>
  </xdr:twoCellAnchor>
  <xdr:twoCellAnchor>
    <xdr:from>
      <xdr:col>0</xdr:col>
      <xdr:colOff>142875</xdr:colOff>
      <xdr:row>1</xdr:row>
      <xdr:rowOff>114300</xdr:rowOff>
    </xdr:from>
    <xdr:to>
      <xdr:col>2</xdr:col>
      <xdr:colOff>266700</xdr:colOff>
      <xdr:row>3</xdr:row>
      <xdr:rowOff>152400</xdr:rowOff>
    </xdr:to>
    <xdr:sp>
      <xdr:nvSpPr>
        <xdr:cNvPr id="3" name="Text Box 52"/>
        <xdr:cNvSpPr txBox="1">
          <a:spLocks noChangeArrowheads="1"/>
        </xdr:cNvSpPr>
      </xdr:nvSpPr>
      <xdr:spPr>
        <a:xfrm>
          <a:off x="142875" y="457200"/>
          <a:ext cx="3962400" cy="533400"/>
        </a:xfrm>
        <a:prstGeom prst="rect">
          <a:avLst/>
        </a:prstGeom>
        <a:gradFill rotWithShape="1">
          <a:gsLst>
            <a:gs pos="0">
              <a:srgbClr val="CC99FF"/>
            </a:gs>
            <a:gs pos="100000">
              <a:srgbClr val="FFFF00"/>
            </a:gs>
          </a:gsLst>
          <a:lin ang="0" scaled="1"/>
        </a:gradFill>
        <a:ln w="9525" cmpd="sng">
          <a:noFill/>
        </a:ln>
      </xdr:spPr>
      <xdr:txBody>
        <a:bodyPr vertOverflow="clip" wrap="square" lIns="45720" tIns="41148" rIns="0" bIns="41148" anchor="ctr"/>
        <a:p>
          <a:pPr algn="l">
            <a:defRPr/>
          </a:pPr>
          <a:r>
            <a:rPr lang="en-US" cap="none" sz="2000" b="1" i="0" u="none" baseline="0">
              <a:solidFill>
                <a:srgbClr val="000000"/>
              </a:solidFill>
              <a:latin typeface="Arial"/>
              <a:ea typeface="Arial"/>
              <a:cs typeface="Arial"/>
            </a:rPr>
            <a:t>Route builder</a:t>
          </a:r>
        </a:p>
      </xdr:txBody>
    </xdr:sp>
    <xdr:clientData/>
  </xdr:twoCellAnchor>
  <xdr:twoCellAnchor>
    <xdr:from>
      <xdr:col>0</xdr:col>
      <xdr:colOff>142875</xdr:colOff>
      <xdr:row>20</xdr:row>
      <xdr:rowOff>38100</xdr:rowOff>
    </xdr:from>
    <xdr:to>
      <xdr:col>0</xdr:col>
      <xdr:colOff>1828800</xdr:colOff>
      <xdr:row>21</xdr:row>
      <xdr:rowOff>238125</xdr:rowOff>
    </xdr:to>
    <xdr:sp>
      <xdr:nvSpPr>
        <xdr:cNvPr id="4" name="Text Box 53">
          <a:hlinkClick r:id="rId3"/>
        </xdr:cNvPr>
        <xdr:cNvSpPr txBox="1">
          <a:spLocks noChangeArrowheads="1"/>
        </xdr:cNvSpPr>
      </xdr:nvSpPr>
      <xdr:spPr>
        <a:xfrm>
          <a:off x="142875" y="4752975"/>
          <a:ext cx="1685925" cy="428625"/>
        </a:xfrm>
        <a:prstGeom prst="rect">
          <a:avLst/>
        </a:prstGeom>
        <a:solidFill>
          <a:srgbClr val="CC99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Click here to go back to </a:t>
          </a:r>
          <a:r>
            <a:rPr lang="en-US" cap="none" sz="1200" b="1" i="0" u="none" baseline="0">
              <a:solidFill>
                <a:srgbClr val="000000"/>
              </a:solidFill>
              <a:latin typeface="Arial"/>
              <a:ea typeface="Arial"/>
              <a:cs typeface="Arial"/>
            </a:rPr>
            <a:t>Rural Mid-block</a:t>
          </a:r>
          <a:r>
            <a:rPr lang="en-US" cap="none" sz="1200" b="0" i="0" u="none" baseline="0">
              <a:solidFill>
                <a:srgbClr val="000000"/>
              </a:solidFill>
              <a:latin typeface="Arial"/>
              <a:ea typeface="Arial"/>
              <a:cs typeface="Arial"/>
            </a:rPr>
            <a:t> tool</a:t>
          </a:r>
        </a:p>
      </xdr:txBody>
    </xdr:sp>
    <xdr:clientData/>
  </xdr:twoCellAnchor>
  <xdr:twoCellAnchor>
    <xdr:from>
      <xdr:col>0</xdr:col>
      <xdr:colOff>1981200</xdr:colOff>
      <xdr:row>20</xdr:row>
      <xdr:rowOff>47625</xdr:rowOff>
    </xdr:from>
    <xdr:to>
      <xdr:col>1</xdr:col>
      <xdr:colOff>1600200</xdr:colOff>
      <xdr:row>21</xdr:row>
      <xdr:rowOff>247650</xdr:rowOff>
    </xdr:to>
    <xdr:sp>
      <xdr:nvSpPr>
        <xdr:cNvPr id="5" name="Text Box 54">
          <a:hlinkClick r:id="rId4"/>
        </xdr:cNvPr>
        <xdr:cNvSpPr txBox="1">
          <a:spLocks noChangeArrowheads="1"/>
        </xdr:cNvSpPr>
      </xdr:nvSpPr>
      <xdr:spPr>
        <a:xfrm>
          <a:off x="1981200" y="4762500"/>
          <a:ext cx="1781175" cy="428625"/>
        </a:xfrm>
        <a:prstGeom prst="rect">
          <a:avLst/>
        </a:prstGeom>
        <a:solidFill>
          <a:srgbClr val="FFFF00"/>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Click here to go back to </a:t>
          </a:r>
          <a:r>
            <a:rPr lang="en-US" cap="none" sz="1200" b="1" i="0" u="none" baseline="0">
              <a:solidFill>
                <a:srgbClr val="000000"/>
              </a:solidFill>
              <a:latin typeface="Arial"/>
              <a:ea typeface="Arial"/>
              <a:cs typeface="Arial"/>
            </a:rPr>
            <a:t>Rural Curve</a:t>
          </a:r>
          <a:r>
            <a:rPr lang="en-US" cap="none" sz="1200" b="0" i="0" u="none" baseline="0">
              <a:solidFill>
                <a:srgbClr val="000000"/>
              </a:solidFill>
              <a:latin typeface="Arial"/>
              <a:ea typeface="Arial"/>
              <a:cs typeface="Arial"/>
            </a:rPr>
            <a:t> tool</a:t>
          </a:r>
        </a:p>
      </xdr:txBody>
    </xdr:sp>
    <xdr:clientData/>
  </xdr:twoCellAnchor>
  <xdr:twoCellAnchor>
    <xdr:from>
      <xdr:col>2</xdr:col>
      <xdr:colOff>114300</xdr:colOff>
      <xdr:row>20</xdr:row>
      <xdr:rowOff>47625</xdr:rowOff>
    </xdr:from>
    <xdr:to>
      <xdr:col>3</xdr:col>
      <xdr:colOff>828675</xdr:colOff>
      <xdr:row>21</xdr:row>
      <xdr:rowOff>247650</xdr:rowOff>
    </xdr:to>
    <xdr:sp>
      <xdr:nvSpPr>
        <xdr:cNvPr id="6" name="Text Box 55">
          <a:hlinkClick r:id="rId5"/>
        </xdr:cNvPr>
        <xdr:cNvSpPr txBox="1">
          <a:spLocks noChangeArrowheads="1"/>
        </xdr:cNvSpPr>
      </xdr:nvSpPr>
      <xdr:spPr>
        <a:xfrm>
          <a:off x="3952875" y="4762500"/>
          <a:ext cx="1685925" cy="428625"/>
        </a:xfrm>
        <a:prstGeom prst="rect">
          <a:avLst/>
        </a:prstGeom>
        <a:solidFill>
          <a:srgbClr val="00FF00"/>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Click here to go back to </a:t>
          </a:r>
          <a:r>
            <a:rPr lang="en-US" cap="none" sz="1200" b="1" i="0" u="none" baseline="0">
              <a:solidFill>
                <a:srgbClr val="000000"/>
              </a:solidFill>
              <a:latin typeface="Arial"/>
              <a:ea typeface="Arial"/>
              <a:cs typeface="Arial"/>
            </a:rPr>
            <a:t>Rural Bridge</a:t>
          </a:r>
          <a:r>
            <a:rPr lang="en-US" cap="none" sz="1200" b="0" i="0" u="none" baseline="0">
              <a:solidFill>
                <a:srgbClr val="000000"/>
              </a:solidFill>
              <a:latin typeface="Arial"/>
              <a:ea typeface="Arial"/>
              <a:cs typeface="Arial"/>
            </a:rPr>
            <a:t> tool</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13</xdr:row>
      <xdr:rowOff>38100</xdr:rowOff>
    </xdr:from>
    <xdr:to>
      <xdr:col>1</xdr:col>
      <xdr:colOff>304800</xdr:colOff>
      <xdr:row>15</xdr:row>
      <xdr:rowOff>142875</xdr:rowOff>
    </xdr:to>
    <xdr:sp>
      <xdr:nvSpPr>
        <xdr:cNvPr id="1" name="Text Box 6">
          <a:hlinkClick r:id="rId1"/>
        </xdr:cNvPr>
        <xdr:cNvSpPr txBox="1">
          <a:spLocks noChangeArrowheads="1"/>
        </xdr:cNvSpPr>
      </xdr:nvSpPr>
      <xdr:spPr>
        <a:xfrm>
          <a:off x="123825" y="3914775"/>
          <a:ext cx="1685925" cy="428625"/>
        </a:xfrm>
        <a:prstGeom prst="rect">
          <a:avLst/>
        </a:prstGeom>
        <a:solidFill>
          <a:srgbClr val="CC99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Click here to go back to </a:t>
          </a:r>
          <a:r>
            <a:rPr lang="en-US" cap="none" sz="1200" b="1" i="0" u="none" baseline="0">
              <a:solidFill>
                <a:srgbClr val="000000"/>
              </a:solidFill>
              <a:latin typeface="Arial"/>
              <a:ea typeface="Arial"/>
              <a:cs typeface="Arial"/>
            </a:rPr>
            <a:t>Rural Mid-block</a:t>
          </a:r>
          <a:r>
            <a:rPr lang="en-US" cap="none" sz="1200" b="0" i="0" u="none" baseline="0">
              <a:solidFill>
                <a:srgbClr val="000000"/>
              </a:solidFill>
              <a:latin typeface="Arial"/>
              <a:ea typeface="Arial"/>
              <a:cs typeface="Arial"/>
            </a:rPr>
            <a:t> tool</a:t>
          </a:r>
        </a:p>
      </xdr:txBody>
    </xdr:sp>
    <xdr:clientData/>
  </xdr:twoCellAnchor>
  <xdr:twoCellAnchor>
    <xdr:from>
      <xdr:col>1</xdr:col>
      <xdr:colOff>419100</xdr:colOff>
      <xdr:row>13</xdr:row>
      <xdr:rowOff>38100</xdr:rowOff>
    </xdr:from>
    <xdr:to>
      <xdr:col>4</xdr:col>
      <xdr:colOff>104775</xdr:colOff>
      <xdr:row>15</xdr:row>
      <xdr:rowOff>142875</xdr:rowOff>
    </xdr:to>
    <xdr:sp>
      <xdr:nvSpPr>
        <xdr:cNvPr id="2" name="Text Box 7">
          <a:hlinkClick r:id="rId2"/>
        </xdr:cNvPr>
        <xdr:cNvSpPr txBox="1">
          <a:spLocks noChangeArrowheads="1"/>
        </xdr:cNvSpPr>
      </xdr:nvSpPr>
      <xdr:spPr>
        <a:xfrm>
          <a:off x="1924050" y="3914775"/>
          <a:ext cx="1685925" cy="428625"/>
        </a:xfrm>
        <a:prstGeom prst="rect">
          <a:avLst/>
        </a:prstGeom>
        <a:solidFill>
          <a:srgbClr val="FFFF00"/>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Click here to go back to </a:t>
          </a:r>
          <a:r>
            <a:rPr lang="en-US" cap="none" sz="1200" b="1" i="0" u="none" baseline="0">
              <a:solidFill>
                <a:srgbClr val="000000"/>
              </a:solidFill>
              <a:latin typeface="Arial"/>
              <a:ea typeface="Arial"/>
              <a:cs typeface="Arial"/>
            </a:rPr>
            <a:t>Rural Curve</a:t>
          </a:r>
          <a:r>
            <a:rPr lang="en-US" cap="none" sz="1200" b="0" i="0" u="none" baseline="0">
              <a:solidFill>
                <a:srgbClr val="000000"/>
              </a:solidFill>
              <a:latin typeface="Arial"/>
              <a:ea typeface="Arial"/>
              <a:cs typeface="Arial"/>
            </a:rPr>
            <a:t> tool</a:t>
          </a:r>
        </a:p>
      </xdr:txBody>
    </xdr:sp>
    <xdr:clientData/>
  </xdr:twoCellAnchor>
  <xdr:twoCellAnchor>
    <xdr:from>
      <xdr:col>4</xdr:col>
      <xdr:colOff>200025</xdr:colOff>
      <xdr:row>13</xdr:row>
      <xdr:rowOff>38100</xdr:rowOff>
    </xdr:from>
    <xdr:to>
      <xdr:col>8</xdr:col>
      <xdr:colOff>333375</xdr:colOff>
      <xdr:row>15</xdr:row>
      <xdr:rowOff>142875</xdr:rowOff>
    </xdr:to>
    <xdr:sp>
      <xdr:nvSpPr>
        <xdr:cNvPr id="3" name="Text Box 8">
          <a:hlinkClick r:id="rId3"/>
        </xdr:cNvPr>
        <xdr:cNvSpPr txBox="1">
          <a:spLocks noChangeArrowheads="1"/>
        </xdr:cNvSpPr>
      </xdr:nvSpPr>
      <xdr:spPr>
        <a:xfrm>
          <a:off x="3705225" y="3914775"/>
          <a:ext cx="1685925" cy="428625"/>
        </a:xfrm>
        <a:prstGeom prst="rect">
          <a:avLst/>
        </a:prstGeom>
        <a:solidFill>
          <a:srgbClr val="00FF00"/>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Click here to go back to </a:t>
          </a:r>
          <a:r>
            <a:rPr lang="en-US" cap="none" sz="1200" b="1" i="0" u="none" baseline="0">
              <a:solidFill>
                <a:srgbClr val="000000"/>
              </a:solidFill>
              <a:latin typeface="Arial"/>
              <a:ea typeface="Arial"/>
              <a:cs typeface="Arial"/>
            </a:rPr>
            <a:t>Rural Bridge</a:t>
          </a:r>
          <a:r>
            <a:rPr lang="en-US" cap="none" sz="1200" b="0" i="0" u="none" baseline="0">
              <a:solidFill>
                <a:srgbClr val="000000"/>
              </a:solidFill>
              <a:latin typeface="Arial"/>
              <a:ea typeface="Arial"/>
              <a:cs typeface="Arial"/>
            </a:rPr>
            <a:t> tool</a:t>
          </a:r>
        </a:p>
      </xdr:txBody>
    </xdr:sp>
    <xdr:clientData/>
  </xdr:twoCellAnchor>
  <xdr:twoCellAnchor>
    <xdr:from>
      <xdr:col>1</xdr:col>
      <xdr:colOff>219075</xdr:colOff>
      <xdr:row>16</xdr:row>
      <xdr:rowOff>76200</xdr:rowOff>
    </xdr:from>
    <xdr:to>
      <xdr:col>4</xdr:col>
      <xdr:colOff>295275</xdr:colOff>
      <xdr:row>19</xdr:row>
      <xdr:rowOff>104775</xdr:rowOff>
    </xdr:to>
    <xdr:sp>
      <xdr:nvSpPr>
        <xdr:cNvPr id="4" name="Text Box 9">
          <a:hlinkClick r:id="rId4"/>
        </xdr:cNvPr>
        <xdr:cNvSpPr txBox="1">
          <a:spLocks noChangeArrowheads="1"/>
        </xdr:cNvSpPr>
      </xdr:nvSpPr>
      <xdr:spPr>
        <a:xfrm>
          <a:off x="1724025" y="4438650"/>
          <a:ext cx="2076450" cy="514350"/>
        </a:xfrm>
        <a:prstGeom prst="rect">
          <a:avLst/>
        </a:prstGeom>
        <a:gradFill rotWithShape="1">
          <a:gsLst>
            <a:gs pos="0">
              <a:srgbClr val="CC99FF"/>
            </a:gs>
            <a:gs pos="100000">
              <a:srgbClr val="FFFF00"/>
            </a:gs>
          </a:gsLst>
          <a:lin ang="0" scaled="1"/>
        </a:gradFill>
        <a:ln w="9525" cmpd="sng">
          <a:noFill/>
        </a:ln>
      </xdr:spPr>
      <xdr:txBody>
        <a:bodyPr vertOverflow="clip" wrap="square" lIns="36576" tIns="27432" rIns="0" bIns="27432" anchor="ctr"/>
        <a:p>
          <a:pPr algn="l">
            <a:defRPr/>
          </a:pPr>
          <a:r>
            <a:rPr lang="en-US" cap="none" sz="1200" b="1" i="0" u="none" baseline="0">
              <a:solidFill>
                <a:srgbClr val="000000"/>
              </a:solidFill>
              <a:latin typeface="Arial"/>
              <a:ea typeface="Arial"/>
              <a:cs typeface="Arial"/>
            </a:rPr>
            <a:t>Click here to go to the
</a:t>
          </a:r>
          <a:r>
            <a:rPr lang="en-US" cap="none" sz="1600" b="1" i="0" u="none" baseline="0">
              <a:solidFill>
                <a:srgbClr val="000000"/>
              </a:solidFill>
              <a:latin typeface="Arial"/>
              <a:ea typeface="Arial"/>
              <a:cs typeface="Arial"/>
            </a:rPr>
            <a:t>Route builder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14</xdr:row>
      <xdr:rowOff>57150</xdr:rowOff>
    </xdr:from>
    <xdr:to>
      <xdr:col>3</xdr:col>
      <xdr:colOff>133350</xdr:colOff>
      <xdr:row>17</xdr:row>
      <xdr:rowOff>0</xdr:rowOff>
    </xdr:to>
    <xdr:sp>
      <xdr:nvSpPr>
        <xdr:cNvPr id="1" name="Text Box 12">
          <a:hlinkClick r:id="rId1"/>
        </xdr:cNvPr>
        <xdr:cNvSpPr txBox="1">
          <a:spLocks noChangeArrowheads="1"/>
        </xdr:cNvSpPr>
      </xdr:nvSpPr>
      <xdr:spPr>
        <a:xfrm>
          <a:off x="276225" y="2781300"/>
          <a:ext cx="1685925" cy="428625"/>
        </a:xfrm>
        <a:prstGeom prst="rect">
          <a:avLst/>
        </a:prstGeom>
        <a:solidFill>
          <a:srgbClr val="CC99FF"/>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Click here to go back to </a:t>
          </a:r>
          <a:r>
            <a:rPr lang="en-US" cap="none" sz="1200" b="1" i="0" u="none" baseline="0">
              <a:solidFill>
                <a:srgbClr val="000000"/>
              </a:solidFill>
              <a:latin typeface="Arial"/>
              <a:ea typeface="Arial"/>
              <a:cs typeface="Arial"/>
            </a:rPr>
            <a:t>Rural Mid-block</a:t>
          </a:r>
          <a:r>
            <a:rPr lang="en-US" cap="none" sz="1200" b="0" i="0" u="none" baseline="0">
              <a:solidFill>
                <a:srgbClr val="000000"/>
              </a:solidFill>
              <a:latin typeface="Arial"/>
              <a:ea typeface="Arial"/>
              <a:cs typeface="Arial"/>
            </a:rPr>
            <a:t> tool</a:t>
          </a:r>
        </a:p>
      </xdr:txBody>
    </xdr:sp>
    <xdr:clientData/>
  </xdr:twoCellAnchor>
  <xdr:twoCellAnchor>
    <xdr:from>
      <xdr:col>3</xdr:col>
      <xdr:colOff>257175</xdr:colOff>
      <xdr:row>14</xdr:row>
      <xdr:rowOff>66675</xdr:rowOff>
    </xdr:from>
    <xdr:to>
      <xdr:col>4</xdr:col>
      <xdr:colOff>1419225</xdr:colOff>
      <xdr:row>17</xdr:row>
      <xdr:rowOff>9525</xdr:rowOff>
    </xdr:to>
    <xdr:sp>
      <xdr:nvSpPr>
        <xdr:cNvPr id="2" name="Text Box 14">
          <a:hlinkClick r:id="rId2"/>
        </xdr:cNvPr>
        <xdr:cNvSpPr txBox="1">
          <a:spLocks noChangeArrowheads="1"/>
        </xdr:cNvSpPr>
      </xdr:nvSpPr>
      <xdr:spPr>
        <a:xfrm>
          <a:off x="2085975" y="2790825"/>
          <a:ext cx="1685925" cy="428625"/>
        </a:xfrm>
        <a:prstGeom prst="rect">
          <a:avLst/>
        </a:prstGeom>
        <a:solidFill>
          <a:srgbClr val="FFFF00"/>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Click here to go back to </a:t>
          </a:r>
          <a:r>
            <a:rPr lang="en-US" cap="none" sz="1200" b="1" i="0" u="none" baseline="0">
              <a:solidFill>
                <a:srgbClr val="000000"/>
              </a:solidFill>
              <a:latin typeface="Arial"/>
              <a:ea typeface="Arial"/>
              <a:cs typeface="Arial"/>
            </a:rPr>
            <a:t>Rural Curve</a:t>
          </a:r>
          <a:r>
            <a:rPr lang="en-US" cap="none" sz="1200" b="0" i="0" u="none" baseline="0">
              <a:solidFill>
                <a:srgbClr val="000000"/>
              </a:solidFill>
              <a:latin typeface="Arial"/>
              <a:ea typeface="Arial"/>
              <a:cs typeface="Arial"/>
            </a:rPr>
            <a:t> tool</a:t>
          </a:r>
        </a:p>
      </xdr:txBody>
    </xdr:sp>
    <xdr:clientData/>
  </xdr:twoCellAnchor>
  <xdr:twoCellAnchor>
    <xdr:from>
      <xdr:col>4</xdr:col>
      <xdr:colOff>1609725</xdr:colOff>
      <xdr:row>14</xdr:row>
      <xdr:rowOff>57150</xdr:rowOff>
    </xdr:from>
    <xdr:to>
      <xdr:col>6</xdr:col>
      <xdr:colOff>542925</xdr:colOff>
      <xdr:row>17</xdr:row>
      <xdr:rowOff>0</xdr:rowOff>
    </xdr:to>
    <xdr:sp>
      <xdr:nvSpPr>
        <xdr:cNvPr id="3" name="Text Box 15">
          <a:hlinkClick r:id="rId3"/>
        </xdr:cNvPr>
        <xdr:cNvSpPr txBox="1">
          <a:spLocks noChangeArrowheads="1"/>
        </xdr:cNvSpPr>
      </xdr:nvSpPr>
      <xdr:spPr>
        <a:xfrm>
          <a:off x="3962400" y="2781300"/>
          <a:ext cx="1685925" cy="428625"/>
        </a:xfrm>
        <a:prstGeom prst="rect">
          <a:avLst/>
        </a:prstGeom>
        <a:solidFill>
          <a:srgbClr val="00FF00"/>
        </a:solidFill>
        <a:ln w="952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Click here to go back to </a:t>
          </a:r>
          <a:r>
            <a:rPr lang="en-US" cap="none" sz="1200" b="1" i="0" u="none" baseline="0">
              <a:solidFill>
                <a:srgbClr val="000000"/>
              </a:solidFill>
              <a:latin typeface="Arial"/>
              <a:ea typeface="Arial"/>
              <a:cs typeface="Arial"/>
            </a:rPr>
            <a:t>Rural Bridge</a:t>
          </a:r>
          <a:r>
            <a:rPr lang="en-US" cap="none" sz="1200" b="0" i="0" u="none" baseline="0">
              <a:solidFill>
                <a:srgbClr val="000000"/>
              </a:solidFill>
              <a:latin typeface="Arial"/>
              <a:ea typeface="Arial"/>
              <a:cs typeface="Arial"/>
            </a:rPr>
            <a:t> tool</a:t>
          </a:r>
        </a:p>
      </xdr:txBody>
    </xdr:sp>
    <xdr:clientData/>
  </xdr:twoCellAnchor>
  <xdr:twoCellAnchor>
    <xdr:from>
      <xdr:col>3</xdr:col>
      <xdr:colOff>47625</xdr:colOff>
      <xdr:row>19</xdr:row>
      <xdr:rowOff>57150</xdr:rowOff>
    </xdr:from>
    <xdr:to>
      <xdr:col>4</xdr:col>
      <xdr:colOff>1666875</xdr:colOff>
      <xdr:row>22</xdr:row>
      <xdr:rowOff>76200</xdr:rowOff>
    </xdr:to>
    <xdr:sp>
      <xdr:nvSpPr>
        <xdr:cNvPr id="4" name="Text Box 16">
          <a:hlinkClick r:id="rId4"/>
        </xdr:cNvPr>
        <xdr:cNvSpPr txBox="1">
          <a:spLocks noChangeArrowheads="1"/>
        </xdr:cNvSpPr>
      </xdr:nvSpPr>
      <xdr:spPr>
        <a:xfrm>
          <a:off x="1876425" y="3590925"/>
          <a:ext cx="2143125" cy="504825"/>
        </a:xfrm>
        <a:prstGeom prst="rect">
          <a:avLst/>
        </a:prstGeom>
        <a:gradFill rotWithShape="1">
          <a:gsLst>
            <a:gs pos="0">
              <a:srgbClr val="CC99FF"/>
            </a:gs>
            <a:gs pos="100000">
              <a:srgbClr val="FFFF00"/>
            </a:gs>
          </a:gsLst>
          <a:lin ang="0" scaled="1"/>
        </a:gradFill>
        <a:ln w="9525" cmpd="sng">
          <a:noFill/>
        </a:ln>
      </xdr:spPr>
      <xdr:txBody>
        <a:bodyPr vertOverflow="clip" wrap="square" lIns="36576" tIns="27432" rIns="0" bIns="27432" anchor="ctr"/>
        <a:p>
          <a:pPr algn="l">
            <a:defRPr/>
          </a:pPr>
          <a:r>
            <a:rPr lang="en-US" cap="none" sz="1200" b="1" i="0" u="none" baseline="0">
              <a:solidFill>
                <a:srgbClr val="000000"/>
              </a:solidFill>
              <a:latin typeface="Arial"/>
              <a:ea typeface="Arial"/>
              <a:cs typeface="Arial"/>
            </a:rPr>
            <a:t>Click here to go to the
</a:t>
          </a:r>
          <a:r>
            <a:rPr lang="en-US" cap="none" sz="1600" b="1" i="0" u="none" baseline="0">
              <a:solidFill>
                <a:srgbClr val="000000"/>
              </a:solidFill>
              <a:latin typeface="Arial"/>
              <a:ea typeface="Arial"/>
              <a:cs typeface="Arial"/>
            </a:rPr>
            <a:t>Route builder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7.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C2:E3"/>
  <sheetViews>
    <sheetView showGridLines="0" tabSelected="1" zoomScalePageLayoutView="0" workbookViewId="0" topLeftCell="A1">
      <selection activeCell="Q21" sqref="Q21"/>
    </sheetView>
  </sheetViews>
  <sheetFormatPr defaultColWidth="9.140625" defaultRowHeight="12.75"/>
  <cols>
    <col min="1" max="16384" width="9.140625" style="79" customWidth="1"/>
  </cols>
  <sheetData>
    <row r="2" spans="3:5" ht="26.25">
      <c r="C2" s="122" t="s">
        <v>303</v>
      </c>
      <c r="D2" s="122"/>
      <c r="E2" s="122"/>
    </row>
    <row r="3" ht="18">
      <c r="C3" s="193"/>
    </row>
  </sheetData>
  <sheetProtection password="D040" sheet="1"/>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9"/>
  <dimension ref="A2:G65"/>
  <sheetViews>
    <sheetView showGridLines="0" zoomScalePageLayoutView="0" workbookViewId="0" topLeftCell="A1">
      <selection activeCell="E2" sqref="E2"/>
    </sheetView>
  </sheetViews>
  <sheetFormatPr defaultColWidth="9.140625" defaultRowHeight="12.75"/>
  <cols>
    <col min="1" max="1" width="22.57421875" style="0" customWidth="1"/>
    <col min="2" max="2" width="14.421875" style="0" customWidth="1"/>
    <col min="3" max="3" width="15.57421875" style="0" customWidth="1"/>
    <col min="4" max="4" width="0" style="0" hidden="1" customWidth="1"/>
    <col min="5" max="5" width="14.140625" style="0" customWidth="1"/>
    <col min="6" max="6" width="10.7109375" style="0" hidden="1" customWidth="1"/>
    <col min="7" max="7" width="0" style="0" hidden="1" customWidth="1"/>
  </cols>
  <sheetData>
    <row r="2" spans="2:7" ht="32.25" customHeight="1">
      <c r="B2" s="132" t="s">
        <v>63</v>
      </c>
      <c r="C2" s="132" t="s">
        <v>65</v>
      </c>
      <c r="D2" s="131" t="s">
        <v>70</v>
      </c>
      <c r="E2" s="133" t="s">
        <v>203</v>
      </c>
      <c r="F2" s="6" t="s">
        <v>181</v>
      </c>
      <c r="G2" s="2" t="str">
        <f>'road details and costs back end'!L40</f>
        <v>Wa1</v>
      </c>
    </row>
    <row r="3" spans="2:7" ht="24.75" customHeight="1">
      <c r="B3" s="137" t="s">
        <v>60</v>
      </c>
      <c r="C3" s="137" t="s">
        <v>61</v>
      </c>
      <c r="D3" s="138" t="str">
        <f aca="true" t="shared" si="0" ref="D3:D12">CONCATENATE(LEFT(B3,2),LEFT(C3,2))</f>
        <v>PaWa</v>
      </c>
      <c r="E3" s="180">
        <v>1</v>
      </c>
      <c r="F3" s="1" t="s">
        <v>201</v>
      </c>
      <c r="G3" t="str">
        <f>CONCATENATE(LEFT('road details and costs back end'!J5,2),LEFT('road details and costs back end'!J6,2))</f>
        <v>CAPr</v>
      </c>
    </row>
    <row r="4" spans="2:7" ht="24.75" customHeight="1">
      <c r="B4" s="137" t="s">
        <v>60</v>
      </c>
      <c r="C4" s="137" t="s">
        <v>62</v>
      </c>
      <c r="D4" s="138" t="str">
        <f t="shared" si="0"/>
        <v>PaAl</v>
      </c>
      <c r="E4" s="180">
        <v>0.5</v>
      </c>
      <c r="F4" s="1" t="s">
        <v>202</v>
      </c>
      <c r="G4" t="str">
        <f>CONCATENATE(LEFT('road details and costs back end'!J19,2),LEFT('road details and costs back end'!J20,2))</f>
        <v>CAPr</v>
      </c>
    </row>
    <row r="5" spans="2:5" ht="24.75" customHeight="1">
      <c r="B5" s="137" t="s">
        <v>73</v>
      </c>
      <c r="C5" s="137" t="s">
        <v>199</v>
      </c>
      <c r="D5" s="138" t="str">
        <f t="shared" si="0"/>
        <v>CAFl</v>
      </c>
      <c r="E5" s="180">
        <v>4</v>
      </c>
    </row>
    <row r="6" spans="2:5" ht="24.75" customHeight="1">
      <c r="B6" s="137" t="s">
        <v>73</v>
      </c>
      <c r="C6" s="137" t="s">
        <v>66</v>
      </c>
      <c r="D6" s="138" t="str">
        <f t="shared" si="0"/>
        <v>CASt</v>
      </c>
      <c r="E6" s="180">
        <v>4</v>
      </c>
    </row>
    <row r="7" spans="2:5" ht="24.75" customHeight="1">
      <c r="B7" s="137" t="s">
        <v>73</v>
      </c>
      <c r="C7" s="137" t="s">
        <v>67</v>
      </c>
      <c r="D7" s="138" t="str">
        <f t="shared" si="0"/>
        <v>CAPr</v>
      </c>
      <c r="E7" s="180">
        <v>4</v>
      </c>
    </row>
    <row r="8" spans="2:5" ht="24.75" customHeight="1">
      <c r="B8" s="137" t="s">
        <v>196</v>
      </c>
      <c r="C8" s="137" t="s">
        <v>199</v>
      </c>
      <c r="D8" s="138" t="str">
        <f t="shared" si="0"/>
        <v>ThFl</v>
      </c>
      <c r="E8" s="180">
        <v>4</v>
      </c>
    </row>
    <row r="9" spans="2:5" ht="24.75" customHeight="1">
      <c r="B9" s="137" t="s">
        <v>196</v>
      </c>
      <c r="C9" s="137" t="s">
        <v>198</v>
      </c>
      <c r="D9" s="138" t="str">
        <f t="shared" si="0"/>
        <v>ThEm</v>
      </c>
      <c r="E9" s="180">
        <v>4</v>
      </c>
    </row>
    <row r="10" spans="2:5" ht="24.75" customHeight="1">
      <c r="B10" s="137" t="s">
        <v>196</v>
      </c>
      <c r="C10" s="137" t="s">
        <v>67</v>
      </c>
      <c r="D10" s="138" t="str">
        <f t="shared" si="0"/>
        <v>ThPr</v>
      </c>
      <c r="E10" s="180">
        <v>4</v>
      </c>
    </row>
    <row r="11" spans="2:5" ht="24.75" customHeight="1">
      <c r="B11" s="137" t="s">
        <v>197</v>
      </c>
      <c r="C11" s="137" t="s">
        <v>200</v>
      </c>
      <c r="D11" s="138" t="str">
        <f t="shared" si="0"/>
        <v>TaPa</v>
      </c>
      <c r="E11" s="180">
        <v>10</v>
      </c>
    </row>
    <row r="12" spans="1:5" ht="24.75" customHeight="1">
      <c r="A12" s="137" t="s">
        <v>215</v>
      </c>
      <c r="B12" s="182" t="str">
        <f>'New Product'!E4</f>
        <v>-</v>
      </c>
      <c r="C12" s="182" t="str">
        <f>'New Product'!E5</f>
        <v>-</v>
      </c>
      <c r="D12" s="136" t="str">
        <f t="shared" si="0"/>
        <v>--</v>
      </c>
      <c r="E12" s="181" t="str">
        <f>'New Product'!E6</f>
        <v>-</v>
      </c>
    </row>
    <row r="13" spans="1:5" ht="12.75">
      <c r="A13" s="2"/>
      <c r="B13" s="2"/>
      <c r="C13" s="2"/>
      <c r="D13" s="2"/>
      <c r="E13" s="2"/>
    </row>
    <row r="14" spans="1:5" ht="12.75">
      <c r="A14" s="2"/>
      <c r="B14" s="128"/>
      <c r="C14" s="2"/>
      <c r="D14" s="2"/>
      <c r="E14" s="2"/>
    </row>
    <row r="15" spans="1:5" ht="12.75">
      <c r="A15" s="2"/>
      <c r="B15" s="2"/>
      <c r="C15" s="2"/>
      <c r="D15" s="2"/>
      <c r="E15" s="2"/>
    </row>
    <row r="16" spans="1:5" ht="12.75">
      <c r="A16" s="2"/>
      <c r="B16" s="128"/>
      <c r="C16" s="2"/>
      <c r="D16" s="2"/>
      <c r="E16" s="2"/>
    </row>
    <row r="17" spans="1:5" ht="12.75">
      <c r="A17" s="2"/>
      <c r="B17" s="128"/>
      <c r="C17" s="2"/>
      <c r="D17" s="2"/>
      <c r="E17" s="2"/>
    </row>
    <row r="18" spans="1:5" ht="12.75">
      <c r="A18" s="2"/>
      <c r="B18" s="128"/>
      <c r="C18" s="2"/>
      <c r="D18" s="2"/>
      <c r="E18" s="2"/>
    </row>
    <row r="19" spans="1:5" ht="12.75">
      <c r="A19" s="2"/>
      <c r="B19" s="128"/>
      <c r="C19" s="2"/>
      <c r="D19" s="2"/>
      <c r="E19" s="2"/>
    </row>
    <row r="20" spans="1:5" ht="12.75">
      <c r="A20" s="2"/>
      <c r="B20" s="128"/>
      <c r="C20" s="2"/>
      <c r="D20" s="2"/>
      <c r="E20" s="2"/>
    </row>
    <row r="21" spans="1:5" ht="12.75">
      <c r="A21" s="2"/>
      <c r="B21" s="2"/>
      <c r="C21" s="2"/>
      <c r="D21" s="2"/>
      <c r="E21" s="2"/>
    </row>
    <row r="22" spans="1:5" ht="12.75">
      <c r="A22" s="2"/>
      <c r="B22" s="128"/>
      <c r="C22" s="2"/>
      <c r="D22" s="2"/>
      <c r="E22" s="2"/>
    </row>
    <row r="23" spans="1:5" ht="12.75">
      <c r="A23" s="2"/>
      <c r="B23" s="128"/>
      <c r="C23" s="2"/>
      <c r="D23" s="2"/>
      <c r="E23" s="2"/>
    </row>
    <row r="24" spans="1:5" ht="12.75">
      <c r="A24" s="2"/>
      <c r="B24" s="128"/>
      <c r="C24" s="2"/>
      <c r="D24" s="2"/>
      <c r="E24" s="2"/>
    </row>
    <row r="25" spans="1:5" ht="12.75">
      <c r="A25" s="2"/>
      <c r="B25" s="128"/>
      <c r="C25" s="2"/>
      <c r="D25" s="2"/>
      <c r="E25" s="2"/>
    </row>
    <row r="26" spans="1:5" ht="12.75">
      <c r="A26" s="2"/>
      <c r="B26" s="128"/>
      <c r="C26" s="2"/>
      <c r="D26" s="2"/>
      <c r="E26" s="2"/>
    </row>
    <row r="27" spans="1:5" ht="12.75">
      <c r="A27" s="2"/>
      <c r="B27" s="2"/>
      <c r="C27" s="2"/>
      <c r="D27" s="2"/>
      <c r="E27" s="2"/>
    </row>
    <row r="28" spans="1:5" ht="12.75">
      <c r="A28" s="2"/>
      <c r="B28" s="128"/>
      <c r="C28" s="2"/>
      <c r="D28" s="2"/>
      <c r="E28" s="2"/>
    </row>
    <row r="29" spans="1:5" ht="12.75">
      <c r="A29" s="2"/>
      <c r="B29" s="128"/>
      <c r="C29" s="2"/>
      <c r="D29" s="2"/>
      <c r="E29" s="2"/>
    </row>
    <row r="30" spans="1:5" ht="12.75">
      <c r="A30" s="2"/>
      <c r="B30" s="128"/>
      <c r="C30" s="2"/>
      <c r="D30" s="2"/>
      <c r="E30" s="2"/>
    </row>
    <row r="31" spans="1:5" ht="12.75">
      <c r="A31" s="2"/>
      <c r="B31" s="128"/>
      <c r="C31" s="2"/>
      <c r="D31" s="2"/>
      <c r="E31" s="2"/>
    </row>
    <row r="32" spans="1:5" ht="12.75">
      <c r="A32" s="2"/>
      <c r="B32" s="128"/>
      <c r="C32" s="2"/>
      <c r="D32" s="2"/>
      <c r="E32" s="2"/>
    </row>
    <row r="33" spans="1:5" ht="12.75">
      <c r="A33" s="2"/>
      <c r="B33" s="2"/>
      <c r="C33" s="2"/>
      <c r="D33" s="2"/>
      <c r="E33" s="2"/>
    </row>
    <row r="34" spans="1:5" ht="12.75">
      <c r="A34" s="2"/>
      <c r="B34" s="128"/>
      <c r="C34" s="2"/>
      <c r="D34" s="2"/>
      <c r="E34" s="2"/>
    </row>
    <row r="35" spans="1:5" ht="12.75">
      <c r="A35" s="2"/>
      <c r="B35" s="128"/>
      <c r="C35" s="2"/>
      <c r="D35" s="2"/>
      <c r="E35" s="2"/>
    </row>
    <row r="36" spans="1:5" ht="12.75">
      <c r="A36" s="2"/>
      <c r="B36" s="128"/>
      <c r="C36" s="2"/>
      <c r="D36" s="2"/>
      <c r="E36" s="2"/>
    </row>
    <row r="37" spans="1:5" ht="12.75">
      <c r="A37" s="2"/>
      <c r="B37" s="128"/>
      <c r="C37" s="2"/>
      <c r="D37" s="2"/>
      <c r="E37" s="2"/>
    </row>
    <row r="38" spans="1:5" ht="12.75">
      <c r="A38" s="2"/>
      <c r="B38" s="128"/>
      <c r="C38" s="2"/>
      <c r="D38" s="2"/>
      <c r="E38" s="2"/>
    </row>
    <row r="39" spans="1:5" ht="12.75">
      <c r="A39" s="2"/>
      <c r="B39" s="2"/>
      <c r="C39" s="2"/>
      <c r="D39" s="2"/>
      <c r="E39" s="2"/>
    </row>
    <row r="40" spans="1:5" ht="12.75">
      <c r="A40" s="2"/>
      <c r="B40" s="129"/>
      <c r="C40" s="3"/>
      <c r="D40" s="2"/>
      <c r="E40" s="2"/>
    </row>
    <row r="41" spans="1:5" ht="12.75">
      <c r="A41" s="2"/>
      <c r="B41" s="129"/>
      <c r="C41" s="3"/>
      <c r="D41" s="2"/>
      <c r="E41" s="2"/>
    </row>
    <row r="42" spans="1:5" ht="12.75">
      <c r="A42" s="2"/>
      <c r="B42" s="129"/>
      <c r="C42" s="3"/>
      <c r="D42" s="2"/>
      <c r="E42" s="2"/>
    </row>
    <row r="43" spans="1:5" ht="12.75">
      <c r="A43" s="2"/>
      <c r="B43" s="129"/>
      <c r="C43" s="3"/>
      <c r="D43" s="2"/>
      <c r="E43" s="2"/>
    </row>
    <row r="44" spans="1:5" ht="12.75">
      <c r="A44" s="2"/>
      <c r="B44" s="129"/>
      <c r="C44" s="3"/>
      <c r="D44" s="2"/>
      <c r="E44" s="2"/>
    </row>
    <row r="45" spans="1:5" ht="12.75">
      <c r="A45" s="2"/>
      <c r="B45" s="2"/>
      <c r="C45" s="2"/>
      <c r="D45" s="2"/>
      <c r="E45" s="2"/>
    </row>
    <row r="46" spans="1:5" ht="12.75">
      <c r="A46" s="2"/>
      <c r="B46" s="129"/>
      <c r="C46" s="3"/>
      <c r="D46" s="2"/>
      <c r="E46" s="2"/>
    </row>
    <row r="47" spans="1:5" ht="12.75">
      <c r="A47" s="2"/>
      <c r="B47" s="129"/>
      <c r="C47" s="3"/>
      <c r="D47" s="2"/>
      <c r="E47" s="2"/>
    </row>
    <row r="48" spans="1:5" ht="12.75">
      <c r="A48" s="2"/>
      <c r="B48" s="129"/>
      <c r="C48" s="3"/>
      <c r="D48" s="2"/>
      <c r="E48" s="2"/>
    </row>
    <row r="49" spans="1:5" ht="12.75">
      <c r="A49" s="2"/>
      <c r="B49" s="129"/>
      <c r="C49" s="3"/>
      <c r="D49" s="2"/>
      <c r="E49" s="2"/>
    </row>
    <row r="50" spans="1:5" ht="12.75">
      <c r="A50" s="2"/>
      <c r="B50" s="129"/>
      <c r="C50" s="3"/>
      <c r="D50" s="2"/>
      <c r="E50" s="2"/>
    </row>
    <row r="51" spans="1:5" ht="12.75">
      <c r="A51" s="2"/>
      <c r="B51" s="2"/>
      <c r="C51" s="2"/>
      <c r="D51" s="2"/>
      <c r="E51" s="2"/>
    </row>
    <row r="52" spans="1:5" ht="12.75">
      <c r="A52" s="2"/>
      <c r="B52" s="129"/>
      <c r="C52" s="3"/>
      <c r="D52" s="2"/>
      <c r="E52" s="2"/>
    </row>
    <row r="53" spans="1:5" ht="12.75">
      <c r="A53" s="2"/>
      <c r="B53" s="129"/>
      <c r="C53" s="3"/>
      <c r="D53" s="2"/>
      <c r="E53" s="2"/>
    </row>
    <row r="54" spans="1:5" ht="12.75">
      <c r="A54" s="2"/>
      <c r="B54" s="129"/>
      <c r="C54" s="3"/>
      <c r="D54" s="2"/>
      <c r="E54" s="2"/>
    </row>
    <row r="55" spans="1:5" ht="12.75">
      <c r="A55" s="2"/>
      <c r="B55" s="2"/>
      <c r="C55" s="2"/>
      <c r="D55" s="2"/>
      <c r="E55" s="2"/>
    </row>
    <row r="56" spans="1:5" ht="12.75">
      <c r="A56" s="2"/>
      <c r="B56" s="129"/>
      <c r="C56" s="129"/>
      <c r="D56" s="2"/>
      <c r="E56" s="2"/>
    </row>
    <row r="57" spans="1:5" ht="12.75">
      <c r="A57" s="2"/>
      <c r="B57" s="129"/>
      <c r="C57" s="129"/>
      <c r="D57" s="2"/>
      <c r="E57" s="2"/>
    </row>
    <row r="58" spans="1:5" ht="12.75">
      <c r="A58" s="2"/>
      <c r="B58" s="129"/>
      <c r="C58" s="129"/>
      <c r="D58" s="2"/>
      <c r="E58" s="2"/>
    </row>
    <row r="59" spans="1:5" ht="12.75">
      <c r="A59" s="2"/>
      <c r="B59" s="129"/>
      <c r="C59" s="129"/>
      <c r="D59" s="2"/>
      <c r="E59" s="2"/>
    </row>
    <row r="60" spans="1:5" ht="12.75">
      <c r="A60" s="2"/>
      <c r="B60" s="129"/>
      <c r="C60" s="129"/>
      <c r="D60" s="2"/>
      <c r="E60" s="2"/>
    </row>
    <row r="61" spans="1:5" ht="12.75">
      <c r="A61" s="2"/>
      <c r="B61" s="2"/>
      <c r="C61" s="2"/>
      <c r="D61" s="2"/>
      <c r="E61" s="2"/>
    </row>
    <row r="62" spans="1:5" ht="12.75">
      <c r="A62" s="2"/>
      <c r="B62" s="2"/>
      <c r="C62" s="2"/>
      <c r="D62" s="2"/>
      <c r="E62" s="2"/>
    </row>
    <row r="63" spans="1:5" ht="12.75">
      <c r="A63" s="2"/>
      <c r="B63" s="2"/>
      <c r="C63" s="2"/>
      <c r="D63" s="2"/>
      <c r="E63" s="2"/>
    </row>
    <row r="64" spans="1:5" ht="12.75">
      <c r="A64" s="2"/>
      <c r="B64" s="2"/>
      <c r="C64" s="2"/>
      <c r="D64" s="2"/>
      <c r="E64" s="2"/>
    </row>
    <row r="65" spans="1:5" ht="12.75">
      <c r="A65" s="2"/>
      <c r="B65" s="2"/>
      <c r="C65" s="2"/>
      <c r="D65" s="2"/>
      <c r="E65" s="2"/>
    </row>
  </sheetData>
  <sheetProtection password="C502" sheet="1" objects="1" scenarios="1"/>
  <printOptions/>
  <pageMargins left="0.75" right="0.75" top="1" bottom="1" header="0.5" footer="0.5"/>
  <pageSetup horizontalDpi="600" verticalDpi="600" orientation="portrait" r:id="rId3"/>
  <drawing r:id="rId2"/>
  <legacyDrawing r:id="rId1"/>
</worksheet>
</file>

<file path=xl/worksheets/sheet11.xml><?xml version="1.0" encoding="utf-8"?>
<worksheet xmlns="http://schemas.openxmlformats.org/spreadsheetml/2006/main" xmlns:r="http://schemas.openxmlformats.org/officeDocument/2006/relationships">
  <dimension ref="B2:E14"/>
  <sheetViews>
    <sheetView showGridLines="0" zoomScalePageLayoutView="0" workbookViewId="0" topLeftCell="A1">
      <selection activeCell="J34" sqref="J34"/>
    </sheetView>
  </sheetViews>
  <sheetFormatPr defaultColWidth="9.140625" defaultRowHeight="12.75"/>
  <cols>
    <col min="1" max="3" width="9.140625" style="79" customWidth="1"/>
    <col min="4" max="4" width="7.8515625" style="79" customWidth="1"/>
    <col min="5" max="5" width="32.140625" style="79" customWidth="1"/>
    <col min="6" max="16384" width="9.140625" style="79" customWidth="1"/>
  </cols>
  <sheetData>
    <row r="1" ht="12.75"/>
    <row r="2" ht="15.75">
      <c r="B2" s="161"/>
    </row>
    <row r="3" spans="2:5" ht="15.75">
      <c r="B3" s="183" t="s">
        <v>206</v>
      </c>
      <c r="C3" s="184"/>
      <c r="D3" s="185"/>
      <c r="E3" s="186"/>
    </row>
    <row r="4" spans="2:5" ht="15.75">
      <c r="B4" s="187" t="s">
        <v>146</v>
      </c>
      <c r="C4" s="188"/>
      <c r="D4" s="189"/>
      <c r="E4" s="194" t="s">
        <v>214</v>
      </c>
    </row>
    <row r="5" spans="2:5" ht="15.75">
      <c r="B5" s="187" t="s">
        <v>207</v>
      </c>
      <c r="C5" s="188"/>
      <c r="D5" s="189"/>
      <c r="E5" s="195" t="s">
        <v>214</v>
      </c>
    </row>
    <row r="6" spans="2:5" ht="15.75">
      <c r="B6" s="187" t="s">
        <v>295</v>
      </c>
      <c r="C6" s="188"/>
      <c r="D6" s="189"/>
      <c r="E6" s="194" t="s">
        <v>214</v>
      </c>
    </row>
    <row r="7" spans="2:5" ht="15.75">
      <c r="B7" s="183" t="s">
        <v>294</v>
      </c>
      <c r="C7" s="184"/>
      <c r="D7" s="185"/>
      <c r="E7" s="190"/>
    </row>
    <row r="8" spans="2:5" ht="12.75">
      <c r="B8" s="196" t="s">
        <v>296</v>
      </c>
      <c r="C8" s="184"/>
      <c r="D8" s="185"/>
      <c r="E8" s="190"/>
    </row>
    <row r="9" spans="2:5" ht="15.75">
      <c r="B9" s="187" t="s">
        <v>208</v>
      </c>
      <c r="C9" s="188"/>
      <c r="D9" s="189"/>
      <c r="E9" s="134" t="s">
        <v>214</v>
      </c>
    </row>
    <row r="10" spans="2:5" ht="15.75">
      <c r="B10" s="187" t="s">
        <v>209</v>
      </c>
      <c r="C10" s="188"/>
      <c r="D10" s="189"/>
      <c r="E10" s="134" t="s">
        <v>214</v>
      </c>
    </row>
    <row r="11" spans="2:5" ht="15.75">
      <c r="B11" s="187" t="s">
        <v>210</v>
      </c>
      <c r="C11" s="188"/>
      <c r="D11" s="189"/>
      <c r="E11" s="194" t="s">
        <v>214</v>
      </c>
    </row>
    <row r="12" spans="2:5" ht="15.75">
      <c r="B12" s="187" t="s">
        <v>211</v>
      </c>
      <c r="C12" s="188"/>
      <c r="D12" s="189"/>
      <c r="E12" s="194" t="s">
        <v>214</v>
      </c>
    </row>
    <row r="13" spans="2:5" ht="15.75">
      <c r="B13" s="187" t="s">
        <v>212</v>
      </c>
      <c r="C13" s="188"/>
      <c r="D13" s="189"/>
      <c r="E13" s="134" t="s">
        <v>214</v>
      </c>
    </row>
    <row r="14" spans="2:5" ht="15.75">
      <c r="B14" s="187" t="s">
        <v>213</v>
      </c>
      <c r="C14" s="188"/>
      <c r="D14" s="189"/>
      <c r="E14" s="134" t="s">
        <v>214</v>
      </c>
    </row>
  </sheetData>
  <sheetProtection password="D040" sheet="1" objects="1" scenarios="1"/>
  <printOptions/>
  <pageMargins left="0.75" right="0.75" top="1" bottom="1" header="0.5" footer="0.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codeName="Sheet1">
    <pageSetUpPr fitToPage="1"/>
  </sheetPr>
  <dimension ref="A1:J46"/>
  <sheetViews>
    <sheetView showGridLines="0" zoomScalePageLayoutView="0" workbookViewId="0" topLeftCell="A1">
      <selection activeCell="F11" sqref="F11"/>
    </sheetView>
  </sheetViews>
  <sheetFormatPr defaultColWidth="9.140625" defaultRowHeight="12.75"/>
  <cols>
    <col min="1" max="1" width="32.421875" style="0" customWidth="1"/>
    <col min="2" max="2" width="7.140625" style="0" customWidth="1"/>
    <col min="3" max="3" width="10.8515625" style="0" customWidth="1"/>
    <col min="5" max="5" width="29.140625" style="0" customWidth="1"/>
    <col min="6" max="6" width="10.8515625" style="0" customWidth="1"/>
    <col min="7" max="7" width="18.140625" style="0" customWidth="1"/>
    <col min="8" max="8" width="14.7109375" style="0" customWidth="1"/>
    <col min="9" max="9" width="8.57421875" style="0" customWidth="1"/>
  </cols>
  <sheetData>
    <row r="1" spans="1:7" ht="27" customHeight="1">
      <c r="A1" s="120" t="s">
        <v>303</v>
      </c>
      <c r="B1" s="121"/>
      <c r="C1" s="121"/>
      <c r="D1" s="121"/>
      <c r="E1" s="121"/>
      <c r="F1" s="121"/>
      <c r="G1" s="121"/>
    </row>
    <row r="2" ht="12.75">
      <c r="A2" s="101"/>
    </row>
    <row r="3" ht="20.25">
      <c r="A3" s="104" t="s">
        <v>155</v>
      </c>
    </row>
    <row r="4" ht="12.75">
      <c r="A4" s="101"/>
    </row>
    <row r="5" spans="1:5" ht="20.25" customHeight="1" thickBot="1">
      <c r="A5" s="26" t="s">
        <v>160</v>
      </c>
      <c r="E5" s="26" t="s">
        <v>56</v>
      </c>
    </row>
    <row r="6" spans="1:7" ht="17.25" customHeight="1">
      <c r="A6" s="107" t="s">
        <v>0</v>
      </c>
      <c r="B6" s="59"/>
      <c r="C6" s="95">
        <v>5000</v>
      </c>
      <c r="E6" s="114" t="s">
        <v>144</v>
      </c>
      <c r="F6" s="84"/>
      <c r="G6" s="85"/>
    </row>
    <row r="7" spans="1:7" ht="18" customHeight="1">
      <c r="A7" s="108" t="s">
        <v>69</v>
      </c>
      <c r="B7" s="54"/>
      <c r="C7" s="96">
        <f>IF(AADT&gt;10000,2,1)</f>
        <v>1</v>
      </c>
      <c r="E7" s="111" t="s">
        <v>292</v>
      </c>
      <c r="F7" s="81">
        <f>VLOOKUP('road details and costs back end'!L40,'road details and costs back end'!R28:S35,2,FALSE)*4</f>
        <v>1680</v>
      </c>
      <c r="G7" s="82"/>
    </row>
    <row r="8" spans="1:10" ht="18" customHeight="1">
      <c r="A8" s="108" t="s">
        <v>186</v>
      </c>
      <c r="B8" s="54"/>
      <c r="C8" s="97">
        <v>1</v>
      </c>
      <c r="E8" s="191" t="s">
        <v>290</v>
      </c>
      <c r="F8" s="197"/>
      <c r="G8" s="82"/>
      <c r="J8" s="1"/>
    </row>
    <row r="9" spans="1:7" ht="18" customHeight="1">
      <c r="A9" s="108" t="s">
        <v>24</v>
      </c>
      <c r="B9" s="54"/>
      <c r="C9" s="94">
        <f>(C6*C8)*365/100000000</f>
        <v>0.01825</v>
      </c>
      <c r="E9" s="111" t="s">
        <v>291</v>
      </c>
      <c r="F9" s="83">
        <f>VLOOKUP('road details and costs back end'!L40,'road details and costs back end'!R28:T35,3,FALSE)</f>
        <v>1</v>
      </c>
      <c r="G9" s="82"/>
    </row>
    <row r="10" spans="1:7" ht="18.75" customHeight="1" thickBot="1">
      <c r="A10" s="108" t="s">
        <v>23</v>
      </c>
      <c r="B10" s="54"/>
      <c r="C10" s="55"/>
      <c r="E10" s="115" t="s">
        <v>293</v>
      </c>
      <c r="F10" s="88">
        <f>IF(F12&lt;F9,'road details and costs back end'!S49/F12,'road details and costs back end'!S49/F9)*C8</f>
        <v>1680</v>
      </c>
      <c r="G10" s="89"/>
    </row>
    <row r="11" spans="1:3" ht="18.75" customHeight="1" thickBot="1">
      <c r="A11" s="108" t="s">
        <v>96</v>
      </c>
      <c r="B11" s="54"/>
      <c r="C11" s="55"/>
    </row>
    <row r="12" spans="1:7" ht="18" customHeight="1" thickBot="1">
      <c r="A12" s="109" t="s">
        <v>97</v>
      </c>
      <c r="B12" s="57"/>
      <c r="C12" s="58"/>
      <c r="E12" s="92" t="s">
        <v>152</v>
      </c>
      <c r="F12" s="98">
        <v>4</v>
      </c>
      <c r="G12" s="93" t="s">
        <v>153</v>
      </c>
    </row>
    <row r="13" ht="19.5" customHeight="1" thickBot="1"/>
    <row r="14" spans="1:7" ht="18" customHeight="1" thickBot="1">
      <c r="A14" s="52" t="s">
        <v>132</v>
      </c>
      <c r="E14" s="72" t="s">
        <v>218</v>
      </c>
      <c r="F14" s="76"/>
      <c r="G14" s="73"/>
    </row>
    <row r="15" spans="1:7" ht="20.25" customHeight="1">
      <c r="A15" s="62"/>
      <c r="B15" s="110" t="s">
        <v>140</v>
      </c>
      <c r="C15" s="118">
        <f>C9*'road details and costs back end'!G36</f>
        <v>0.28689</v>
      </c>
      <c r="E15" s="116" t="s">
        <v>146</v>
      </c>
      <c r="F15" s="77"/>
      <c r="G15" s="74"/>
    </row>
    <row r="16" spans="1:7" ht="17.25" customHeight="1" thickBot="1">
      <c r="A16" s="56"/>
      <c r="B16" s="113" t="s">
        <v>142</v>
      </c>
      <c r="C16" s="125"/>
      <c r="E16" s="116" t="s">
        <v>65</v>
      </c>
      <c r="F16" s="77">
        <v>2</v>
      </c>
      <c r="G16" s="74"/>
    </row>
    <row r="17" spans="5:8" ht="17.25" customHeight="1" thickBot="1">
      <c r="E17" s="116" t="s">
        <v>123</v>
      </c>
      <c r="F17" s="77"/>
      <c r="G17" s="144"/>
      <c r="H17" s="130"/>
    </row>
    <row r="18" spans="1:7" ht="18.75" customHeight="1">
      <c r="A18" s="110" t="s">
        <v>131</v>
      </c>
      <c r="B18" s="59"/>
      <c r="C18" s="71">
        <v>461000</v>
      </c>
      <c r="E18" s="116" t="s">
        <v>122</v>
      </c>
      <c r="F18" s="75">
        <f>IF('Lookup tables'!J5=2,0,(VLOOKUP('road details and costs back end'!J8,'Lookup tables'!E4:F61,2,FALSE)*2))</f>
        <v>15000</v>
      </c>
      <c r="G18" s="246">
        <f>IF('road details and costs back end'!J11=16,"Sorry this combination is not available",IF('Lookup tables'!J5=2,"NOT APPLICABLE",IF('Front end MB'!F18=0,"Cost not available please enter user defined edgeline cost","")))</f>
      </c>
    </row>
    <row r="19" spans="1:7" ht="18" customHeight="1" thickBot="1">
      <c r="A19" s="111" t="s">
        <v>179</v>
      </c>
      <c r="B19" s="86"/>
      <c r="C19" s="87">
        <f>C18*'road details and costs back end'!D42</f>
        <v>132256.28999999998</v>
      </c>
      <c r="E19" s="117" t="s">
        <v>133</v>
      </c>
      <c r="F19" s="78"/>
      <c r="G19" s="247"/>
    </row>
    <row r="20" spans="1:7" ht="20.25" customHeight="1">
      <c r="A20" s="108" t="s">
        <v>128</v>
      </c>
      <c r="B20" s="54"/>
      <c r="C20" s="55"/>
      <c r="E20" s="152" t="s">
        <v>252</v>
      </c>
      <c r="F20" s="153"/>
      <c r="G20" s="154" t="s">
        <v>65</v>
      </c>
    </row>
    <row r="21" spans="1:7" ht="18.75" customHeight="1">
      <c r="A21" s="108" t="s">
        <v>151</v>
      </c>
      <c r="B21" s="54"/>
      <c r="C21" s="63">
        <f>('road details and costs back end'!D42*(1-('road details and costs back end'!D48/100))*C18)</f>
        <v>112417.84649999999</v>
      </c>
      <c r="E21" s="149" t="s">
        <v>253</v>
      </c>
      <c r="F21" s="148"/>
      <c r="G21" s="55"/>
    </row>
    <row r="22" spans="1:7" ht="18.75" customHeight="1" thickBot="1">
      <c r="A22" s="108"/>
      <c r="B22" s="54"/>
      <c r="C22" s="55"/>
      <c r="E22" s="155" t="s">
        <v>258</v>
      </c>
      <c r="F22" s="69">
        <f>IF('Lookup tables'!J31=2,0,(VLOOKUP('road details and costs back end'!M11,'Lookup tables'!E65:F106,2,FALSE)*2)*C8)</f>
        <v>0</v>
      </c>
      <c r="G22" s="58"/>
    </row>
    <row r="23" spans="1:7" ht="18" customHeight="1">
      <c r="A23" s="112" t="s">
        <v>187</v>
      </c>
      <c r="B23" s="54"/>
      <c r="C23" s="63">
        <f>C19-C21</f>
        <v>19838.443499999994</v>
      </c>
      <c r="E23" s="110" t="s">
        <v>147</v>
      </c>
      <c r="F23" s="90">
        <f>('road details and costs back end'!E59*C8)+F22</f>
        <v>15000</v>
      </c>
      <c r="G23" s="60"/>
    </row>
    <row r="24" spans="1:7" ht="16.5" customHeight="1" thickBot="1">
      <c r="A24" s="113" t="s">
        <v>188</v>
      </c>
      <c r="B24" s="57"/>
      <c r="C24" s="65">
        <f>C23*'road details and costs back end'!J35</f>
        <v>65979.51728672447</v>
      </c>
      <c r="E24" s="108" t="s">
        <v>154</v>
      </c>
      <c r="F24" s="91">
        <f>IF('Lookup tables'!J5=2,"",VLOOKUP('Treatment life'!G3,'Treatment life'!D3:E12,2,FALSE))</f>
        <v>4</v>
      </c>
      <c r="G24" s="55"/>
    </row>
    <row r="25" spans="5:7" ht="16.5" customHeight="1">
      <c r="E25" s="108" t="s">
        <v>149</v>
      </c>
      <c r="F25" s="66">
        <f>IF(F24&lt;F12,F23/F24,F23/F12)</f>
        <v>3750</v>
      </c>
      <c r="G25" s="55"/>
    </row>
    <row r="26" spans="1:7" ht="16.5" customHeight="1" thickBot="1">
      <c r="A26" s="119"/>
      <c r="E26" s="113" t="s">
        <v>190</v>
      </c>
      <c r="F26" s="67">
        <f>IF('Lookup tables'!J5=2,0,F25-(F10/2))</f>
        <v>2910</v>
      </c>
      <c r="G26" s="58"/>
    </row>
    <row r="27" ht="18" customHeight="1" thickBot="1"/>
    <row r="28" spans="5:7" ht="17.25" customHeight="1">
      <c r="E28" s="68" t="s">
        <v>217</v>
      </c>
      <c r="F28" s="76"/>
      <c r="G28" s="60"/>
    </row>
    <row r="29" spans="5:7" ht="19.5" customHeight="1">
      <c r="E29" s="108" t="s">
        <v>146</v>
      </c>
      <c r="F29" s="77"/>
      <c r="G29" s="55"/>
    </row>
    <row r="30" spans="2:7" ht="18">
      <c r="B30" s="51"/>
      <c r="E30" s="108" t="s">
        <v>65</v>
      </c>
      <c r="F30" s="77">
        <v>2</v>
      </c>
      <c r="G30" s="55"/>
    </row>
    <row r="31" spans="5:7" ht="17.25" customHeight="1">
      <c r="E31" s="108" t="s">
        <v>123</v>
      </c>
      <c r="F31" s="77"/>
      <c r="G31" s="55"/>
    </row>
    <row r="32" spans="5:7" ht="18.75" customHeight="1">
      <c r="E32" s="108" t="s">
        <v>129</v>
      </c>
      <c r="F32" s="61">
        <f>IF('Lookup tables'!M5=2,0,(VLOOKUP('road details and costs back end'!J22,'Lookup tables'!E4:F61,2,FALSE)*2))</f>
        <v>0</v>
      </c>
      <c r="G32" s="150" t="str">
        <f>IF('road details and costs back end'!J25=16,"Sorry this combination is not available",IF('Lookup tables'!M5=2,"NOT APPLICABLE",IF('Front end MB'!F32=0,"Cost not available please enter user defined edgeline cost","")))</f>
        <v>NOT APPLICABLE</v>
      </c>
    </row>
    <row r="33" spans="5:8" ht="16.5" customHeight="1" thickBot="1">
      <c r="E33" s="113" t="s">
        <v>141</v>
      </c>
      <c r="F33" s="70"/>
      <c r="G33" s="156"/>
      <c r="H33" s="157"/>
    </row>
    <row r="34" spans="5:7" ht="18" customHeight="1">
      <c r="E34" s="152" t="s">
        <v>263</v>
      </c>
      <c r="F34" s="153"/>
      <c r="G34" s="154"/>
    </row>
    <row r="35" spans="5:7" ht="17.25" customHeight="1">
      <c r="E35" s="149" t="s">
        <v>244</v>
      </c>
      <c r="F35" s="148"/>
      <c r="G35" s="55"/>
    </row>
    <row r="36" spans="5:7" ht="20.25" customHeight="1" thickBot="1">
      <c r="E36" s="155" t="s">
        <v>259</v>
      </c>
      <c r="F36" s="69">
        <f>IF('Lookup tables'!L31=2,0,((VLOOKUP('road details and costs back end'!M25,'Lookup tables'!E65:F106,2,FALSE)*C8-(800*C8))))</f>
        <v>0</v>
      </c>
      <c r="G36" s="58"/>
    </row>
    <row r="37" spans="5:7" ht="18" customHeight="1">
      <c r="E37" s="110" t="s">
        <v>147</v>
      </c>
      <c r="F37" s="90">
        <f>(('road details and costs back end'!E60)*C8)+F36</f>
        <v>0</v>
      </c>
      <c r="G37" s="60"/>
    </row>
    <row r="38" spans="5:7" ht="18" customHeight="1">
      <c r="E38" s="108" t="s">
        <v>154</v>
      </c>
      <c r="F38" s="126">
        <f>IF('Lookup tables'!M5=2,"",VLOOKUP('Treatment life'!G4,'Treatment life'!D3:E12,2,FALSE))</f>
      </c>
      <c r="G38" s="55"/>
    </row>
    <row r="39" spans="5:7" ht="19.5" customHeight="1">
      <c r="E39" s="108" t="s">
        <v>189</v>
      </c>
      <c r="F39" s="66">
        <f>IF(F38&lt;F12,F37/F38,F37/F12)</f>
        <v>0</v>
      </c>
      <c r="G39" s="55"/>
    </row>
    <row r="40" spans="5:7" ht="18" customHeight="1" thickBot="1">
      <c r="E40" s="113" t="s">
        <v>190</v>
      </c>
      <c r="F40" s="67">
        <f>IF('Lookup tables'!M5=2,0,(F39-(F10/2)+(F36/F12)))</f>
        <v>0</v>
      </c>
      <c r="G40" s="58"/>
    </row>
    <row r="41" ht="13.5" thickBot="1"/>
    <row r="42" spans="5:7" ht="15.75" customHeight="1">
      <c r="E42" s="68" t="s">
        <v>182</v>
      </c>
      <c r="F42" s="59"/>
      <c r="G42" s="60"/>
    </row>
    <row r="43" spans="5:7" ht="18" customHeight="1">
      <c r="E43" s="108" t="s">
        <v>191</v>
      </c>
      <c r="F43" s="66">
        <f>F23+F37</f>
        <v>15000</v>
      </c>
      <c r="G43" s="55"/>
    </row>
    <row r="44" spans="5:7" ht="13.5" thickBot="1">
      <c r="E44" s="113" t="s">
        <v>276</v>
      </c>
      <c r="F44" s="69">
        <f>(F26+F40)*'road details and costs back end'!J34</f>
        <v>11640</v>
      </c>
      <c r="G44" s="58"/>
    </row>
    <row r="45" ht="13.5" thickBot="1"/>
    <row r="46" spans="5:7" ht="18.75" thickBot="1">
      <c r="E46" s="139" t="s">
        <v>137</v>
      </c>
      <c r="F46" s="244">
        <f>IF(F44&lt;0,"only benefit, no cost",C24/F44)</f>
        <v>5.668343409512412</v>
      </c>
      <c r="G46" s="141"/>
    </row>
    <row r="47" ht="19.5" customHeight="1"/>
  </sheetData>
  <sheetProtection/>
  <mergeCells count="1">
    <mergeCell ref="G18:G19"/>
  </mergeCells>
  <printOptions/>
  <pageMargins left="0.75" right="0.75" top="1" bottom="1" header="0.5" footer="0.5"/>
  <pageSetup fitToHeight="1" fitToWidth="1" horizontalDpi="600" verticalDpi="600" orientation="portrait" scale="67" r:id="rId4"/>
  <drawing r:id="rId3"/>
  <legacyDrawing r:id="rId2"/>
</worksheet>
</file>

<file path=xl/worksheets/sheet3.xml><?xml version="1.0" encoding="utf-8"?>
<worksheet xmlns="http://schemas.openxmlformats.org/spreadsheetml/2006/main" xmlns:r="http://schemas.openxmlformats.org/officeDocument/2006/relationships">
  <sheetPr codeName="Sheet8">
    <pageSetUpPr fitToPage="1"/>
  </sheetPr>
  <dimension ref="A1:J46"/>
  <sheetViews>
    <sheetView showGridLines="0" zoomScalePageLayoutView="0" workbookViewId="0" topLeftCell="A1">
      <selection activeCell="C6" sqref="C6"/>
    </sheetView>
  </sheetViews>
  <sheetFormatPr defaultColWidth="9.140625" defaultRowHeight="12.75"/>
  <cols>
    <col min="1" max="1" width="32.421875" style="0" customWidth="1"/>
    <col min="2" max="2" width="7.140625" style="0" customWidth="1"/>
    <col min="3" max="3" width="10.8515625" style="0" customWidth="1"/>
    <col min="5" max="5" width="29.140625" style="0" customWidth="1"/>
    <col min="6" max="6" width="10.8515625" style="0" customWidth="1"/>
    <col min="7" max="7" width="18.140625" style="0" customWidth="1"/>
    <col min="8" max="8" width="14.7109375" style="0" customWidth="1"/>
    <col min="9" max="9" width="8.57421875" style="0" customWidth="1"/>
  </cols>
  <sheetData>
    <row r="1" spans="1:7" ht="27" customHeight="1">
      <c r="A1" s="120" t="s">
        <v>303</v>
      </c>
      <c r="B1" s="121"/>
      <c r="C1" s="121"/>
      <c r="D1" s="121"/>
      <c r="E1" s="121"/>
      <c r="F1" s="121"/>
      <c r="G1" s="121"/>
    </row>
    <row r="2" ht="12.75">
      <c r="A2" s="103"/>
    </row>
    <row r="3" ht="20.25">
      <c r="A3" s="105" t="s">
        <v>156</v>
      </c>
    </row>
    <row r="4" ht="12.75">
      <c r="A4" s="103"/>
    </row>
    <row r="5" spans="1:5" ht="20.25" customHeight="1" thickBot="1">
      <c r="A5" s="26" t="s">
        <v>160</v>
      </c>
      <c r="E5" s="26" t="s">
        <v>56</v>
      </c>
    </row>
    <row r="6" spans="1:7" ht="17.25" customHeight="1">
      <c r="A6" s="107" t="s">
        <v>0</v>
      </c>
      <c r="B6" s="59"/>
      <c r="C6" s="95">
        <v>5000</v>
      </c>
      <c r="E6" s="114" t="s">
        <v>144</v>
      </c>
      <c r="F6" s="84"/>
      <c r="G6" s="85"/>
    </row>
    <row r="7" spans="1:7" ht="18" customHeight="1">
      <c r="A7" s="108" t="s">
        <v>69</v>
      </c>
      <c r="B7" s="54"/>
      <c r="C7" s="96">
        <f>IF(C6&gt;10000,2,1)</f>
        <v>1</v>
      </c>
      <c r="E7" s="111" t="s">
        <v>292</v>
      </c>
      <c r="F7" s="81">
        <f>VLOOKUP('road details and costs back end'!L40,'road details and costs back end'!R28:S35,2,FALSE)*4</f>
        <v>1680</v>
      </c>
      <c r="G7" s="82"/>
    </row>
    <row r="8" spans="1:10" ht="18" customHeight="1">
      <c r="A8" s="108" t="s">
        <v>192</v>
      </c>
      <c r="B8" s="54"/>
      <c r="C8" s="97">
        <v>0.2</v>
      </c>
      <c r="E8" s="191" t="s">
        <v>290</v>
      </c>
      <c r="F8" s="192"/>
      <c r="G8" s="82"/>
      <c r="J8" s="1"/>
    </row>
    <row r="9" spans="1:7" ht="18" customHeight="1">
      <c r="A9" s="108" t="s">
        <v>157</v>
      </c>
      <c r="B9" s="54"/>
      <c r="C9" s="100">
        <f>(C6/2)*365/100000000</f>
        <v>0.009125</v>
      </c>
      <c r="E9" s="111" t="s">
        <v>291</v>
      </c>
      <c r="F9" s="83">
        <f>VLOOKUP('road details and costs back end'!L40,'road details and costs back end'!R28:T35,3,FALSE)</f>
        <v>1</v>
      </c>
      <c r="G9" s="82"/>
    </row>
    <row r="10" spans="1:7" ht="18.75" customHeight="1" thickBot="1">
      <c r="A10" s="108" t="s">
        <v>163</v>
      </c>
      <c r="B10" s="54"/>
      <c r="C10" s="123">
        <v>70</v>
      </c>
      <c r="E10" s="115" t="s">
        <v>293</v>
      </c>
      <c r="F10" s="88">
        <f>IF(F12&lt;F9,'road details and costs back end'!S49/F12,'road details and costs back end'!S49/F9)*C8</f>
        <v>336</v>
      </c>
      <c r="G10" s="89"/>
    </row>
    <row r="11" spans="1:3" ht="18.75" customHeight="1" thickBot="1">
      <c r="A11" s="108" t="s">
        <v>164</v>
      </c>
      <c r="B11" s="54"/>
      <c r="C11" s="123">
        <v>100</v>
      </c>
    </row>
    <row r="12" spans="1:7" ht="18" customHeight="1" thickBot="1">
      <c r="A12" s="108" t="s">
        <v>165</v>
      </c>
      <c r="B12" s="54"/>
      <c r="C12" s="123">
        <v>80</v>
      </c>
      <c r="E12" s="92" t="s">
        <v>152</v>
      </c>
      <c r="F12" s="98">
        <v>5</v>
      </c>
      <c r="G12" s="93" t="s">
        <v>153</v>
      </c>
    </row>
    <row r="13" spans="1:3" ht="19.5" customHeight="1" thickBot="1">
      <c r="A13" s="109" t="s">
        <v>166</v>
      </c>
      <c r="B13" s="57"/>
      <c r="C13" s="124">
        <v>100</v>
      </c>
    </row>
    <row r="14" spans="5:7" ht="18" customHeight="1">
      <c r="E14" s="72" t="s">
        <v>218</v>
      </c>
      <c r="F14" s="76"/>
      <c r="G14" s="73"/>
    </row>
    <row r="15" spans="1:7" ht="20.25" customHeight="1" thickBot="1">
      <c r="A15" s="52" t="s">
        <v>132</v>
      </c>
      <c r="E15" s="116" t="s">
        <v>146</v>
      </c>
      <c r="F15" s="77"/>
      <c r="G15" s="74"/>
    </row>
    <row r="16" spans="1:7" ht="17.25" customHeight="1">
      <c r="A16" s="62"/>
      <c r="B16" s="110" t="s">
        <v>158</v>
      </c>
      <c r="C16" s="118">
        <f>4.3*C9*EXP(2*'road details and costs back end'!C72)</f>
        <v>0.07149538643032259</v>
      </c>
      <c r="E16" s="116" t="s">
        <v>65</v>
      </c>
      <c r="F16" s="77">
        <v>2</v>
      </c>
      <c r="G16" s="74"/>
    </row>
    <row r="17" spans="1:7" ht="17.25" customHeight="1">
      <c r="A17" s="53"/>
      <c r="B17" s="108" t="s">
        <v>159</v>
      </c>
      <c r="C17" s="99">
        <f>4.3*C9*EXP(2*('road details and costs back end'!C73))</f>
        <v>0.05853547157369933</v>
      </c>
      <c r="E17" s="116" t="s">
        <v>123</v>
      </c>
      <c r="F17" s="77"/>
      <c r="G17" s="144"/>
    </row>
    <row r="18" spans="1:7" ht="18.75" customHeight="1">
      <c r="A18" s="53"/>
      <c r="B18" s="108" t="s">
        <v>161</v>
      </c>
      <c r="C18" s="99">
        <f>SUM(C16:C17)</f>
        <v>0.13003085800402192</v>
      </c>
      <c r="E18" s="116" t="s">
        <v>122</v>
      </c>
      <c r="F18" s="75">
        <f>IF('Lookup tables'!P5=2,0,(VLOOKUP('road details and costs back end'!J8,'Lookup tables'!E4:F61,2,FALSE)*2))</f>
        <v>15000</v>
      </c>
      <c r="G18" s="246">
        <f>IF('road details and costs back end'!J11=16,"Sorry this combination is not available",IF('Lookup tables'!P5=2,"NOT APPLICABLE",IF('Front end RC'!F18=0,"Cost not available please enter user defined edgeline cost","")))</f>
      </c>
    </row>
    <row r="19" spans="1:7" ht="18" customHeight="1" thickBot="1">
      <c r="A19" s="56"/>
      <c r="B19" s="113" t="s">
        <v>142</v>
      </c>
      <c r="C19" s="125"/>
      <c r="E19" s="117" t="s">
        <v>133</v>
      </c>
      <c r="F19" s="78"/>
      <c r="G19" s="247"/>
    </row>
    <row r="20" spans="5:7" ht="20.25" customHeight="1" thickBot="1">
      <c r="E20" s="152" t="s">
        <v>252</v>
      </c>
      <c r="F20" s="153"/>
      <c r="G20" s="154" t="s">
        <v>65</v>
      </c>
    </row>
    <row r="21" spans="1:7" ht="18.75" customHeight="1">
      <c r="A21" s="110" t="s">
        <v>131</v>
      </c>
      <c r="B21" s="59"/>
      <c r="C21" s="71">
        <v>461000</v>
      </c>
      <c r="E21" s="149" t="s">
        <v>253</v>
      </c>
      <c r="F21" s="148"/>
      <c r="G21" s="55"/>
    </row>
    <row r="22" spans="1:7" ht="21.75" customHeight="1" thickBot="1">
      <c r="A22" s="111" t="s">
        <v>179</v>
      </c>
      <c r="B22" s="86"/>
      <c r="C22" s="87">
        <f>C21*'road details and costs back end'!D70</f>
        <v>59944.2255398541</v>
      </c>
      <c r="E22" s="155" t="s">
        <v>258</v>
      </c>
      <c r="F22" s="69">
        <f>IF('Lookup tables'!P31=2,0,(VLOOKUP('road details and costs back end'!M11,'Lookup tables'!E65:F106,2,FALSE)*2)*C8)</f>
        <v>0</v>
      </c>
      <c r="G22" s="58"/>
    </row>
    <row r="23" spans="1:7" ht="18" customHeight="1">
      <c r="A23" s="108" t="s">
        <v>128</v>
      </c>
      <c r="B23" s="54"/>
      <c r="C23" s="55"/>
      <c r="E23" s="110" t="s">
        <v>147</v>
      </c>
      <c r="F23" s="90">
        <f>('road details and costs back end'!E66*C8)+F22</f>
        <v>3000</v>
      </c>
      <c r="G23" s="60"/>
    </row>
    <row r="24" spans="1:7" ht="16.5" customHeight="1">
      <c r="A24" s="108" t="s">
        <v>151</v>
      </c>
      <c r="B24" s="54"/>
      <c r="C24" s="63">
        <f>('road details and costs back end'!D70*(1-('road details and costs back end'!D50/100))*C21)</f>
        <v>44958.16915489058</v>
      </c>
      <c r="E24" s="108" t="s">
        <v>154</v>
      </c>
      <c r="F24" s="91">
        <f>IF('Lookup tables'!P5=2,"",VLOOKUP('Treatment life'!G3,'Treatment life'!D3:E12,2,FALSE))</f>
        <v>4</v>
      </c>
      <c r="G24" s="55"/>
    </row>
    <row r="25" spans="1:7" ht="16.5" customHeight="1">
      <c r="A25" s="108"/>
      <c r="B25" s="54"/>
      <c r="C25" s="55"/>
      <c r="E25" s="108" t="s">
        <v>149</v>
      </c>
      <c r="F25" s="66">
        <f>IF(F24&lt;F12,F23/F24,F23/F12)</f>
        <v>750</v>
      </c>
      <c r="G25" s="55"/>
    </row>
    <row r="26" spans="1:7" ht="16.5" customHeight="1" thickBot="1">
      <c r="A26" s="112" t="s">
        <v>187</v>
      </c>
      <c r="B26" s="54"/>
      <c r="C26" s="63">
        <f>C22-C24</f>
        <v>14986.056384963522</v>
      </c>
      <c r="E26" s="113" t="s">
        <v>190</v>
      </c>
      <c r="F26" s="67">
        <f>IF('Lookup tables'!P5=2,0,F25-(F10/2))</f>
        <v>582</v>
      </c>
      <c r="G26" s="58"/>
    </row>
    <row r="27" spans="1:3" ht="15.75" customHeight="1" thickBot="1">
      <c r="A27" s="113" t="s">
        <v>188</v>
      </c>
      <c r="B27" s="57"/>
      <c r="C27" s="65">
        <f>C26*'road details and costs back end'!J35</f>
        <v>49841.247188144</v>
      </c>
    </row>
    <row r="28" spans="5:7" ht="17.25" customHeight="1">
      <c r="E28" s="68" t="s">
        <v>217</v>
      </c>
      <c r="F28" s="76"/>
      <c r="G28" s="60"/>
    </row>
    <row r="29" spans="5:7" ht="19.5" customHeight="1">
      <c r="E29" s="108" t="s">
        <v>146</v>
      </c>
      <c r="F29" s="77"/>
      <c r="G29" s="55"/>
    </row>
    <row r="30" spans="5:7" ht="18" customHeight="1">
      <c r="E30" s="108" t="s">
        <v>65</v>
      </c>
      <c r="F30" s="77">
        <v>2</v>
      </c>
      <c r="G30" s="55"/>
    </row>
    <row r="31" spans="5:7" ht="20.25" customHeight="1">
      <c r="E31" s="108" t="s">
        <v>123</v>
      </c>
      <c r="F31" s="77"/>
      <c r="G31" s="55"/>
    </row>
    <row r="32" spans="5:7" ht="21" customHeight="1">
      <c r="E32" s="108" t="s">
        <v>129</v>
      </c>
      <c r="F32" s="61">
        <f>IF('Lookup tables'!S5=2,0,(VLOOKUP('road details and costs back end'!J22,'Lookup tables'!E4:F61,2,FALSE)*2))</f>
        <v>15000</v>
      </c>
      <c r="G32" s="246">
        <f>IF('road details and costs back end'!J25=16,"Sorry this combination is not available",IF('Lookup tables'!S5=2,"NOT APPLICABLE",IF('Front end RC'!F32=0,"Cost not available please enter user defined edgeline cost","")))</f>
      </c>
    </row>
    <row r="33" spans="5:7" ht="17.25" customHeight="1" thickBot="1">
      <c r="E33" s="113" t="s">
        <v>141</v>
      </c>
      <c r="F33" s="70"/>
      <c r="G33" s="248"/>
    </row>
    <row r="34" spans="5:7" ht="18" customHeight="1">
      <c r="E34" s="152" t="s">
        <v>263</v>
      </c>
      <c r="F34" s="153"/>
      <c r="G34" s="154"/>
    </row>
    <row r="35" spans="5:7" ht="17.25" customHeight="1">
      <c r="E35" s="149" t="s">
        <v>244</v>
      </c>
      <c r="F35" s="148"/>
      <c r="G35" s="55"/>
    </row>
    <row r="36" spans="5:7" ht="18" customHeight="1" thickBot="1">
      <c r="E36" s="155" t="s">
        <v>259</v>
      </c>
      <c r="F36" s="69">
        <f>IF('Lookup tables'!R31=2,0,((VLOOKUP('road details and costs back end'!M25,'Lookup tables'!E65:F106,2,FALSE)*C8-(800*C8))))</f>
        <v>0</v>
      </c>
      <c r="G36" s="58"/>
    </row>
    <row r="37" spans="5:7" ht="16.5" customHeight="1">
      <c r="E37" s="110" t="s">
        <v>147</v>
      </c>
      <c r="F37" s="90">
        <f>(('road details and costs back end'!E67)*C8)+F36</f>
        <v>3000</v>
      </c>
      <c r="G37" s="60"/>
    </row>
    <row r="38" spans="5:7" ht="15.75" customHeight="1">
      <c r="E38" s="108" t="s">
        <v>154</v>
      </c>
      <c r="F38" s="126">
        <f>IF('Lookup tables'!S5=2,"",VLOOKUP('Treatment life'!G4,'Treatment life'!D3:E12,2,FALSE))</f>
        <v>4</v>
      </c>
      <c r="G38" s="55"/>
    </row>
    <row r="39" spans="5:7" ht="15.75" customHeight="1">
      <c r="E39" s="108" t="s">
        <v>189</v>
      </c>
      <c r="F39" s="66">
        <f>IF(F38&lt;F12,F37/F38,F37/F12)</f>
        <v>750</v>
      </c>
      <c r="G39" s="55"/>
    </row>
    <row r="40" spans="5:7" ht="13.5" thickBot="1">
      <c r="E40" s="113" t="s">
        <v>190</v>
      </c>
      <c r="F40" s="67">
        <f>IF('Lookup tables'!S5=2,0,(F39-(F10/2)+(F36/F12)))</f>
        <v>582</v>
      </c>
      <c r="G40" s="58"/>
    </row>
    <row r="41" ht="13.5" thickBot="1"/>
    <row r="42" spans="5:7" ht="15.75" customHeight="1">
      <c r="E42" s="68" t="s">
        <v>182</v>
      </c>
      <c r="F42" s="59"/>
      <c r="G42" s="60"/>
    </row>
    <row r="43" spans="5:7" ht="12.75">
      <c r="E43" s="108" t="s">
        <v>191</v>
      </c>
      <c r="F43" s="66">
        <f>F23+F37</f>
        <v>6000</v>
      </c>
      <c r="G43" s="55"/>
    </row>
    <row r="44" spans="5:7" ht="13.5" thickBot="1">
      <c r="E44" s="113" t="s">
        <v>276</v>
      </c>
      <c r="F44" s="69">
        <f>(F26+F40)*'road details and costs back end'!J34</f>
        <v>4656</v>
      </c>
      <c r="G44" s="58"/>
    </row>
    <row r="45" ht="13.5" thickBot="1"/>
    <row r="46" spans="5:7" ht="18.75" thickBot="1">
      <c r="E46" s="139" t="s">
        <v>137</v>
      </c>
      <c r="F46" s="140">
        <f>IF(F44&lt;0,"only benefit, no cost",C27/F44)</f>
        <v>10.704735220821306</v>
      </c>
      <c r="G46" s="141"/>
    </row>
  </sheetData>
  <sheetProtection password="D040" sheet="1"/>
  <mergeCells count="2">
    <mergeCell ref="G18:G19"/>
    <mergeCell ref="G32:G33"/>
  </mergeCells>
  <printOptions/>
  <pageMargins left="0.75" right="0.75" top="1" bottom="1" header="0.5" footer="0.5"/>
  <pageSetup fitToHeight="1" fitToWidth="1" horizontalDpi="600" verticalDpi="600" orientation="portrait" paperSize="9" scale="65" r:id="rId4"/>
  <drawing r:id="rId3"/>
  <legacyDrawing r:id="rId2"/>
</worksheet>
</file>

<file path=xl/worksheets/sheet4.xml><?xml version="1.0" encoding="utf-8"?>
<worksheet xmlns="http://schemas.openxmlformats.org/spreadsheetml/2006/main" xmlns:r="http://schemas.openxmlformats.org/officeDocument/2006/relationships">
  <sheetPr codeName="Sheet10">
    <pageSetUpPr fitToPage="1"/>
  </sheetPr>
  <dimension ref="A1:G46"/>
  <sheetViews>
    <sheetView showGridLines="0" zoomScalePageLayoutView="0" workbookViewId="0" topLeftCell="A1">
      <selection activeCell="C37" sqref="C37"/>
    </sheetView>
  </sheetViews>
  <sheetFormatPr defaultColWidth="9.140625" defaultRowHeight="12.75"/>
  <cols>
    <col min="1" max="1" width="34.421875" style="0" customWidth="1"/>
    <col min="2" max="2" width="7.140625" style="0" customWidth="1"/>
    <col min="3" max="3" width="10.8515625" style="0" customWidth="1"/>
    <col min="4" max="4" width="8.421875" style="0" customWidth="1"/>
    <col min="5" max="5" width="29.28125" style="0" customWidth="1"/>
    <col min="6" max="6" width="10.8515625" style="0" customWidth="1"/>
    <col min="7" max="7" width="18.140625" style="0" customWidth="1"/>
    <col min="8" max="8" width="14.7109375" style="0" customWidth="1"/>
    <col min="9" max="9" width="8.57421875" style="0" customWidth="1"/>
  </cols>
  <sheetData>
    <row r="1" spans="1:7" ht="27" customHeight="1">
      <c r="A1" s="120" t="s">
        <v>304</v>
      </c>
      <c r="B1" s="121"/>
      <c r="C1" s="121"/>
      <c r="D1" s="121"/>
      <c r="E1" s="121"/>
      <c r="F1" s="121"/>
      <c r="G1" s="121"/>
    </row>
    <row r="2" ht="12.75">
      <c r="A2" s="102"/>
    </row>
    <row r="3" ht="20.25">
      <c r="A3" s="106" t="s">
        <v>162</v>
      </c>
    </row>
    <row r="4" ht="12.75">
      <c r="A4" s="102"/>
    </row>
    <row r="5" spans="1:5" ht="20.25" customHeight="1" thickBot="1">
      <c r="A5" s="26" t="s">
        <v>2</v>
      </c>
      <c r="E5" s="26" t="s">
        <v>56</v>
      </c>
    </row>
    <row r="6" spans="1:7" ht="17.25" customHeight="1">
      <c r="A6" s="107" t="s">
        <v>0</v>
      </c>
      <c r="B6" s="59"/>
      <c r="C6" s="95">
        <v>5000</v>
      </c>
      <c r="E6" s="114" t="s">
        <v>144</v>
      </c>
      <c r="F6" s="84"/>
      <c r="G6" s="85"/>
    </row>
    <row r="7" spans="1:7" ht="18" customHeight="1">
      <c r="A7" s="108" t="s">
        <v>69</v>
      </c>
      <c r="B7" s="54"/>
      <c r="C7" s="96">
        <f>IF(C6&gt;10000,2,1)</f>
        <v>1</v>
      </c>
      <c r="E7" s="111" t="s">
        <v>292</v>
      </c>
      <c r="F7" s="81">
        <f>VLOOKUP('road details and costs back end'!L40,'road details and costs back end'!R28:S35,2,FALSE)*4</f>
        <v>1680</v>
      </c>
      <c r="G7" s="82"/>
    </row>
    <row r="8" spans="1:7" ht="18" customHeight="1">
      <c r="A8" s="108" t="s">
        <v>264</v>
      </c>
      <c r="B8" s="54"/>
      <c r="C8" s="97">
        <v>0.06</v>
      </c>
      <c r="E8" s="191" t="s">
        <v>290</v>
      </c>
      <c r="F8" s="192"/>
      <c r="G8" s="82"/>
    </row>
    <row r="9" spans="1:7" ht="18" customHeight="1">
      <c r="A9" s="108" t="s">
        <v>24</v>
      </c>
      <c r="B9" s="54"/>
      <c r="C9" s="94">
        <f>C6*365/100000000</f>
        <v>0.01825</v>
      </c>
      <c r="E9" s="111" t="s">
        <v>291</v>
      </c>
      <c r="F9" s="83">
        <f>VLOOKUP('road details and costs back end'!L40,'road details and costs back end'!R28:T35,3,FALSE)</f>
        <v>1</v>
      </c>
      <c r="G9" s="82"/>
    </row>
    <row r="10" spans="1:7" ht="18.75" customHeight="1" thickBot="1">
      <c r="A10" s="108" t="s">
        <v>185</v>
      </c>
      <c r="B10" s="54"/>
      <c r="C10" s="55"/>
      <c r="E10" s="115" t="s">
        <v>293</v>
      </c>
      <c r="F10" s="88">
        <f>IF(F12&lt;F9,'road details and costs back end'!S49/F12,'road details and costs back end'!S49/F9)*C8</f>
        <v>100.8</v>
      </c>
      <c r="G10" s="89"/>
    </row>
    <row r="11" spans="1:3" ht="18.75" customHeight="1" thickBot="1">
      <c r="A11" s="109" t="s">
        <v>273</v>
      </c>
      <c r="B11" s="57"/>
      <c r="C11" s="58"/>
    </row>
    <row r="12" spans="5:7" ht="18" customHeight="1" thickBot="1">
      <c r="E12" s="92" t="s">
        <v>152</v>
      </c>
      <c r="F12" s="98">
        <v>5</v>
      </c>
      <c r="G12" s="93" t="s">
        <v>153</v>
      </c>
    </row>
    <row r="13" ht="19.5" customHeight="1" thickBot="1">
      <c r="A13" s="52" t="s">
        <v>132</v>
      </c>
    </row>
    <row r="14" spans="1:7" ht="18" customHeight="1">
      <c r="A14" s="62"/>
      <c r="B14" s="110" t="s">
        <v>140</v>
      </c>
      <c r="C14" s="127">
        <f>C9*'road details and costs back end'!C110</f>
        <v>0.08532898794934686</v>
      </c>
      <c r="E14" s="72" t="s">
        <v>218</v>
      </c>
      <c r="F14" s="76"/>
      <c r="G14" s="73"/>
    </row>
    <row r="15" spans="1:7" ht="20.25" customHeight="1" thickBot="1">
      <c r="A15" s="64"/>
      <c r="B15" s="113" t="s">
        <v>142</v>
      </c>
      <c r="C15" s="80"/>
      <c r="E15" s="116" t="s">
        <v>146</v>
      </c>
      <c r="F15" s="77"/>
      <c r="G15" s="74"/>
    </row>
    <row r="16" spans="5:7" ht="17.25" customHeight="1" thickBot="1">
      <c r="E16" s="116" t="s">
        <v>65</v>
      </c>
      <c r="F16" s="77">
        <v>2</v>
      </c>
      <c r="G16" s="74"/>
    </row>
    <row r="17" spans="1:7" ht="17.25" customHeight="1">
      <c r="A17" s="110" t="s">
        <v>131</v>
      </c>
      <c r="B17" s="59"/>
      <c r="C17" s="71">
        <v>461000</v>
      </c>
      <c r="E17" s="116" t="s">
        <v>123</v>
      </c>
      <c r="F17" s="77"/>
      <c r="G17" s="144"/>
    </row>
    <row r="18" spans="1:7" ht="18.75" customHeight="1">
      <c r="A18" s="111" t="s">
        <v>179</v>
      </c>
      <c r="B18" s="86"/>
      <c r="C18" s="87">
        <f>C17*'road details and costs back end'!D113</f>
        <v>39336.663444648904</v>
      </c>
      <c r="E18" s="116" t="s">
        <v>122</v>
      </c>
      <c r="F18" s="75">
        <f>IF('Lookup tables'!V5=2,0,(VLOOKUP('road details and costs back end'!J8,'Lookup tables'!E4:F61,2,FALSE)*2))</f>
        <v>0</v>
      </c>
      <c r="G18" s="246" t="str">
        <f>IF('road details and costs back end'!J11=16,"Sorry this combination is not available",IF('Lookup tables'!V5=2,"NOT APPLICABLE",IF('Front end RB'!F18=0,"Cost not available please enter user defined edgeline cost","")))</f>
        <v>NOT APPLICABLE</v>
      </c>
    </row>
    <row r="19" spans="1:7" ht="18" customHeight="1" thickBot="1">
      <c r="A19" s="108" t="s">
        <v>128</v>
      </c>
      <c r="B19" s="54"/>
      <c r="C19" s="55"/>
      <c r="E19" s="117" t="s">
        <v>133</v>
      </c>
      <c r="F19" s="78"/>
      <c r="G19" s="247"/>
    </row>
    <row r="20" spans="1:7" ht="20.25" customHeight="1">
      <c r="A20" s="108" t="s">
        <v>151</v>
      </c>
      <c r="B20" s="54"/>
      <c r="C20" s="63">
        <f>('road details and costs back end'!D113*(1-('road details and costs back end'!D52/100))*C17)</f>
        <v>35402.99710018401</v>
      </c>
      <c r="E20" s="152" t="s">
        <v>252</v>
      </c>
      <c r="F20" s="153"/>
      <c r="G20" s="154" t="s">
        <v>65</v>
      </c>
    </row>
    <row r="21" spans="1:7" ht="18.75" customHeight="1">
      <c r="A21" s="108"/>
      <c r="B21" s="54"/>
      <c r="C21" s="55"/>
      <c r="E21" s="149" t="s">
        <v>253</v>
      </c>
      <c r="F21" s="148"/>
      <c r="G21" s="55"/>
    </row>
    <row r="22" spans="1:7" ht="19.5" customHeight="1" thickBot="1">
      <c r="A22" s="112" t="s">
        <v>187</v>
      </c>
      <c r="B22" s="54"/>
      <c r="C22" s="63">
        <f>C18-C20</f>
        <v>3933.666344464895</v>
      </c>
      <c r="E22" s="155" t="s">
        <v>258</v>
      </c>
      <c r="F22" s="69">
        <f>IF('Lookup tables'!V31=2,0,(VLOOKUP('road details and costs back end'!M11,'Lookup tables'!E65:F106,2,FALSE)*2)*C8)</f>
        <v>0</v>
      </c>
      <c r="G22" s="58"/>
    </row>
    <row r="23" spans="1:7" ht="18" customHeight="1" thickBot="1">
      <c r="A23" s="113" t="s">
        <v>188</v>
      </c>
      <c r="B23" s="57"/>
      <c r="C23" s="65">
        <f>C22*'road details and costs back end'!J35</f>
        <v>13082.750497781133</v>
      </c>
      <c r="E23" s="110" t="s">
        <v>147</v>
      </c>
      <c r="F23" s="90">
        <f>('road details and costs back end'!E78*C8)+F22</f>
        <v>0</v>
      </c>
      <c r="G23" s="60"/>
    </row>
    <row r="24" spans="5:7" ht="17.25" customHeight="1">
      <c r="E24" s="108" t="s">
        <v>154</v>
      </c>
      <c r="F24" s="91">
        <f>IF('Lookup tables'!V5=2,"",VLOOKUP('Treatment life'!G3,'Treatment life'!D3:E12,2,FALSE))</f>
      </c>
      <c r="G24" s="55"/>
    </row>
    <row r="25" spans="5:7" ht="17.25" customHeight="1">
      <c r="E25" s="108" t="s">
        <v>149</v>
      </c>
      <c r="F25" s="66">
        <f>IF(F24&lt;F12,F23/F24,F23/F12)</f>
        <v>0</v>
      </c>
      <c r="G25" s="55"/>
    </row>
    <row r="26" spans="5:7" ht="16.5" customHeight="1" thickBot="1">
      <c r="E26" s="113" t="s">
        <v>190</v>
      </c>
      <c r="F26" s="67">
        <f>IF('Lookup tables'!V5=2,0,F25-(F10/2))</f>
        <v>0</v>
      </c>
      <c r="G26" s="58"/>
    </row>
    <row r="27" ht="15.75" customHeight="1" thickBot="1">
      <c r="A27" s="1"/>
    </row>
    <row r="28" spans="5:7" ht="17.25" customHeight="1">
      <c r="E28" s="68" t="s">
        <v>217</v>
      </c>
      <c r="F28" s="76"/>
      <c r="G28" s="60"/>
    </row>
    <row r="29" spans="2:7" ht="19.5" customHeight="1">
      <c r="B29" s="51"/>
      <c r="E29" s="108" t="s">
        <v>146</v>
      </c>
      <c r="F29" s="77"/>
      <c r="G29" s="55"/>
    </row>
    <row r="30" spans="5:7" ht="15.75" customHeight="1">
      <c r="E30" s="108" t="s">
        <v>65</v>
      </c>
      <c r="F30" s="77">
        <v>2</v>
      </c>
      <c r="G30" s="55"/>
    </row>
    <row r="31" spans="5:7" ht="17.25" customHeight="1">
      <c r="E31" s="108" t="s">
        <v>123</v>
      </c>
      <c r="F31" s="77"/>
      <c r="G31" s="55"/>
    </row>
    <row r="32" spans="5:7" ht="21.75" customHeight="1">
      <c r="E32" s="108" t="s">
        <v>129</v>
      </c>
      <c r="F32" s="61">
        <f>IF('Lookup tables'!Y5=2,0,(VLOOKUP('road details and costs back end'!J22,'Lookup tables'!E4:F61,2,FALSE)*2))</f>
        <v>15000</v>
      </c>
      <c r="G32" s="246">
        <f>IF('road details and costs back end'!J25=16,"Sorry this combination is not available",IF('Lookup tables'!Y5=2,"NOT APPLICABLE",IF('Front end RB'!F32=0,"Cost not available please enter user defined edgeline cost","")))</f>
      </c>
    </row>
    <row r="33" spans="5:7" ht="17.25" customHeight="1" thickBot="1">
      <c r="E33" s="113" t="s">
        <v>141</v>
      </c>
      <c r="F33" s="70"/>
      <c r="G33" s="248"/>
    </row>
    <row r="34" spans="5:7" ht="18" customHeight="1">
      <c r="E34" s="152" t="s">
        <v>263</v>
      </c>
      <c r="F34" s="153"/>
      <c r="G34" s="154"/>
    </row>
    <row r="35" spans="5:7" ht="17.25" customHeight="1">
      <c r="E35" s="149" t="s">
        <v>244</v>
      </c>
      <c r="F35" s="148"/>
      <c r="G35" s="55"/>
    </row>
    <row r="36" spans="5:7" ht="18" customHeight="1" thickBot="1">
      <c r="E36" s="155" t="s">
        <v>259</v>
      </c>
      <c r="F36" s="69">
        <f>IF('Lookup tables'!X31=2,0,((VLOOKUP('road details and costs back end'!M25,'Lookup tables'!E65:F106,2,FALSE)*C8-(800*C8))))</f>
        <v>0</v>
      </c>
      <c r="G36" s="58"/>
    </row>
    <row r="37" spans="5:7" ht="15.75" customHeight="1">
      <c r="E37" s="110" t="s">
        <v>147</v>
      </c>
      <c r="F37" s="90">
        <f>(('road details and costs back end'!E79)*C8)+F36</f>
        <v>900</v>
      </c>
      <c r="G37" s="60"/>
    </row>
    <row r="38" spans="5:7" ht="15.75" customHeight="1">
      <c r="E38" s="108" t="s">
        <v>154</v>
      </c>
      <c r="F38" s="126">
        <f>IF('Lookup tables'!Y5=2,"",VLOOKUP('Treatment life'!G4,'Treatment life'!D3:E12,2,FALSE))</f>
        <v>4</v>
      </c>
      <c r="G38" s="55"/>
    </row>
    <row r="39" spans="5:7" ht="15" customHeight="1">
      <c r="E39" s="108" t="s">
        <v>189</v>
      </c>
      <c r="F39" s="66">
        <f>IF(F38&lt;F12,F37/F38,F37/F12)</f>
        <v>225</v>
      </c>
      <c r="G39" s="55"/>
    </row>
    <row r="40" spans="5:7" ht="13.5" thickBot="1">
      <c r="E40" s="113" t="s">
        <v>190</v>
      </c>
      <c r="F40" s="67">
        <f>IF('Lookup tables'!Y5=2,0,(F39-(F10/2)+(F36/F12)))</f>
        <v>174.6</v>
      </c>
      <c r="G40" s="58"/>
    </row>
    <row r="41" ht="13.5" thickBot="1"/>
    <row r="42" spans="5:7" ht="15.75" customHeight="1">
      <c r="E42" s="68" t="s">
        <v>182</v>
      </c>
      <c r="F42" s="59"/>
      <c r="G42" s="60"/>
    </row>
    <row r="43" spans="5:7" ht="16.5" customHeight="1">
      <c r="E43" s="108" t="s">
        <v>191</v>
      </c>
      <c r="F43" s="66">
        <f>F23+F37</f>
        <v>900</v>
      </c>
      <c r="G43" s="55"/>
    </row>
    <row r="44" spans="5:7" ht="13.5" thickBot="1">
      <c r="E44" s="113" t="s">
        <v>276</v>
      </c>
      <c r="F44" s="69">
        <f>(F26+F40)*'road details and costs back end'!J35</f>
        <v>580.6919135698371</v>
      </c>
      <c r="G44" s="58"/>
    </row>
    <row r="45" ht="13.5" thickBot="1"/>
    <row r="46" spans="5:7" ht="18.75" thickBot="1">
      <c r="E46" s="139" t="s">
        <v>137</v>
      </c>
      <c r="F46" s="140">
        <f>IF(F44&lt;0,"only benefit, no cost",C23/F44)</f>
        <v>22.52958960174625</v>
      </c>
      <c r="G46" s="141"/>
    </row>
  </sheetData>
  <sheetProtection password="D040" sheet="1"/>
  <mergeCells count="2">
    <mergeCell ref="G18:G19"/>
    <mergeCell ref="G32:G33"/>
  </mergeCells>
  <printOptions/>
  <pageMargins left="0.75" right="0.75" top="1" bottom="1" header="0.5" footer="0.5"/>
  <pageSetup fitToHeight="1" fitToWidth="1" horizontalDpi="600" verticalDpi="600" orientation="portrait" paperSize="9" scale="65" r:id="rId4"/>
  <drawing r:id="rId3"/>
  <legacyDrawing r:id="rId2"/>
</worksheet>
</file>

<file path=xl/worksheets/sheet5.xml><?xml version="1.0" encoding="utf-8"?>
<worksheet xmlns="http://schemas.openxmlformats.org/spreadsheetml/2006/main" xmlns:r="http://schemas.openxmlformats.org/officeDocument/2006/relationships">
  <dimension ref="A1:J19"/>
  <sheetViews>
    <sheetView showGridLines="0" zoomScalePageLayoutView="0" workbookViewId="0" topLeftCell="A10">
      <selection activeCell="D15" sqref="D15"/>
    </sheetView>
  </sheetViews>
  <sheetFormatPr defaultColWidth="9.140625" defaultRowHeight="12.75"/>
  <cols>
    <col min="1" max="1" width="32.421875" style="79" customWidth="1"/>
    <col min="2" max="2" width="25.140625" style="79" customWidth="1"/>
    <col min="3" max="3" width="14.57421875" style="79" customWidth="1"/>
    <col min="4" max="4" width="13.140625" style="79" customWidth="1"/>
    <col min="5" max="5" width="29.140625" style="79" customWidth="1"/>
    <col min="6" max="6" width="10.8515625" style="79" customWidth="1"/>
    <col min="7" max="7" width="18.140625" style="79" customWidth="1"/>
    <col min="8" max="8" width="14.7109375" style="79" customWidth="1"/>
    <col min="9" max="9" width="8.57421875" style="79" customWidth="1"/>
    <col min="10" max="16384" width="9.140625" style="79" customWidth="1"/>
  </cols>
  <sheetData>
    <row r="1" spans="1:7" ht="27" customHeight="1">
      <c r="A1" s="120" t="s">
        <v>303</v>
      </c>
      <c r="B1" s="160"/>
      <c r="C1" s="160"/>
      <c r="D1" s="160"/>
      <c r="E1" s="160"/>
      <c r="F1" s="160"/>
      <c r="G1" s="160"/>
    </row>
    <row r="2" spans="1:4" ht="12.75">
      <c r="A2" s="160"/>
      <c r="B2" s="160"/>
      <c r="C2" s="160"/>
      <c r="D2" s="160"/>
    </row>
    <row r="3" spans="1:4" ht="26.25">
      <c r="A3" s="122"/>
      <c r="B3" s="160"/>
      <c r="C3" s="160"/>
      <c r="D3" s="160"/>
    </row>
    <row r="4" spans="1:4" ht="12.75">
      <c r="A4" s="160"/>
      <c r="B4" s="160"/>
      <c r="C4" s="160"/>
      <c r="D4" s="160"/>
    </row>
    <row r="5" ht="20.25" customHeight="1">
      <c r="A5" s="161"/>
    </row>
    <row r="6" spans="1:7" ht="17.25" customHeight="1">
      <c r="A6" s="253" t="s">
        <v>274</v>
      </c>
      <c r="B6" s="254"/>
      <c r="C6" s="254"/>
      <c r="D6" s="254"/>
      <c r="E6" s="254"/>
      <c r="F6" s="254"/>
      <c r="G6" s="254"/>
    </row>
    <row r="7" spans="1:7" ht="18" customHeight="1">
      <c r="A7" s="254"/>
      <c r="B7" s="254"/>
      <c r="C7" s="254"/>
      <c r="D7" s="254"/>
      <c r="E7" s="254"/>
      <c r="F7" s="254"/>
      <c r="G7" s="254"/>
    </row>
    <row r="8" ht="18" customHeight="1" thickBot="1">
      <c r="J8" s="162"/>
    </row>
    <row r="9" spans="1:4" ht="18" customHeight="1" thickBot="1">
      <c r="A9" s="163" t="s">
        <v>270</v>
      </c>
      <c r="B9" s="164"/>
      <c r="C9" s="158">
        <v>10</v>
      </c>
      <c r="D9" s="165" t="s">
        <v>271</v>
      </c>
    </row>
    <row r="10" spans="1:4" ht="18.75" customHeight="1" thickBot="1">
      <c r="A10" s="249" t="s">
        <v>265</v>
      </c>
      <c r="B10" s="250"/>
      <c r="C10" s="159">
        <v>20</v>
      </c>
      <c r="D10" s="166">
        <f>C10*'Front end RC'!C27</f>
        <v>996824.94376288</v>
      </c>
    </row>
    <row r="11" spans="1:4" ht="18.75" customHeight="1" thickBot="1">
      <c r="A11" s="251" t="s">
        <v>266</v>
      </c>
      <c r="B11" s="252"/>
      <c r="C11" s="159">
        <v>1</v>
      </c>
      <c r="D11" s="166">
        <f>C11*'Front end RB'!C23</f>
        <v>13082.750497781133</v>
      </c>
    </row>
    <row r="12" spans="1:4" ht="18" customHeight="1" thickBot="1">
      <c r="A12" s="167" t="s">
        <v>272</v>
      </c>
      <c r="B12" s="168"/>
      <c r="C12" s="242">
        <f>C9-((C10*'Front end RC'!C8)+('Route builder'!C11*0.04))</f>
        <v>5.96</v>
      </c>
      <c r="D12" s="169">
        <f>C12*('Front end MB'!C24/'Front end MB'!C8)</f>
        <v>393237.9230288778</v>
      </c>
    </row>
    <row r="13" ht="13.5" thickBot="1"/>
    <row r="14" spans="1:3" ht="19.5" customHeight="1" thickBot="1">
      <c r="A14" s="167" t="s">
        <v>267</v>
      </c>
      <c r="B14" s="170"/>
      <c r="C14" s="171">
        <f>SUM(D10:D12)</f>
        <v>1403145.617289539</v>
      </c>
    </row>
    <row r="15" spans="1:5" ht="19.5" customHeight="1" thickBot="1">
      <c r="A15" s="172" t="s">
        <v>275</v>
      </c>
      <c r="B15" s="173"/>
      <c r="C15" s="174">
        <f>('Front end MB'!C15*('Route builder'!C12/'Front end MB'!C8))+('Front end RC'!C18*'Route builder'!C10)+('Front end RB'!C14*'Route builder'!C11)</f>
        <v>4.395810548029785</v>
      </c>
      <c r="E15" s="243"/>
    </row>
    <row r="16" spans="1:3" ht="19.5" customHeight="1" thickBot="1">
      <c r="A16" s="172" t="s">
        <v>305</v>
      </c>
      <c r="B16" s="173"/>
      <c r="C16" s="245"/>
    </row>
    <row r="17" spans="1:3" ht="18" customHeight="1" thickBot="1">
      <c r="A17" s="172" t="s">
        <v>268</v>
      </c>
      <c r="B17" s="173"/>
      <c r="C17" s="175">
        <f>(C12*('Front end MB'!F44/'Front end MB'!C8))+('Front end RC'!F44*'Route builder'!C10)+('Front end RB'!F44*'Route builder'!C11)</f>
        <v>163075.09191356984</v>
      </c>
    </row>
    <row r="18" ht="12.75" customHeight="1" thickBot="1">
      <c r="C18" s="176"/>
    </row>
    <row r="19" spans="1:3" ht="24" customHeight="1" thickBot="1">
      <c r="A19" s="177" t="s">
        <v>269</v>
      </c>
      <c r="B19" s="178"/>
      <c r="C19" s="179">
        <f>(IF(C16="",C14,'road details and costs back end'!F118)/C17)</f>
        <v>8.604291439143934</v>
      </c>
    </row>
    <row r="20" ht="18.75" customHeight="1"/>
    <row r="21" ht="18" customHeight="1"/>
    <row r="22" ht="20.25" customHeight="1"/>
    <row r="23" ht="18.75" customHeight="1"/>
    <row r="24" ht="16.5" customHeight="1"/>
    <row r="25" ht="18" customHeight="1"/>
    <row r="26" ht="16.5" customHeight="1"/>
    <row r="27" ht="16.5" customHeight="1"/>
    <row r="28" ht="16.5" customHeight="1"/>
    <row r="29" ht="18" customHeight="1"/>
    <row r="30" ht="17.25" customHeight="1"/>
    <row r="31" ht="19.5" customHeight="1"/>
    <row r="33" ht="17.25" customHeight="1"/>
    <row r="34" ht="17.25" customHeight="1"/>
    <row r="35" ht="17.25" customHeight="1"/>
    <row r="36" ht="18" customHeight="1"/>
    <row r="37" ht="17.25" customHeight="1"/>
  </sheetData>
  <sheetProtection password="D040" sheet="1"/>
  <mergeCells count="3">
    <mergeCell ref="A10:B10"/>
    <mergeCell ref="A11:B11"/>
    <mergeCell ref="A6:G7"/>
  </mergeCells>
  <printOptions/>
  <pageMargins left="0.75" right="0.75" top="1" bottom="1" header="0.5" footer="0.5"/>
  <pageSetup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codeName="Sheet6"/>
  <dimension ref="A1:U118"/>
  <sheetViews>
    <sheetView zoomScalePageLayoutView="0" workbookViewId="0" topLeftCell="A1">
      <selection activeCell="F7" sqref="F7"/>
    </sheetView>
  </sheetViews>
  <sheetFormatPr defaultColWidth="9.140625" defaultRowHeight="12.75"/>
  <cols>
    <col min="1" max="3" width="9.140625" style="199" customWidth="1"/>
    <col min="4" max="4" width="12.28125" style="199" customWidth="1"/>
    <col min="5" max="5" width="14.00390625" style="199" bestFit="1" customWidth="1"/>
    <col min="6" max="6" width="11.421875" style="199" customWidth="1"/>
    <col min="7" max="8" width="9.140625" style="199" customWidth="1"/>
    <col min="9" max="9" width="10.28125" style="199" customWidth="1"/>
    <col min="10" max="10" width="17.421875" style="199" customWidth="1"/>
    <col min="11" max="12" width="9.140625" style="199" customWidth="1"/>
    <col min="13" max="13" width="11.7109375" style="199" customWidth="1"/>
    <col min="14" max="14" width="10.8515625" style="199" customWidth="1"/>
    <col min="15" max="16384" width="9.140625" style="199" customWidth="1"/>
  </cols>
  <sheetData>
    <row r="1" ht="12.75">
      <c r="I1" s="200" t="s">
        <v>138</v>
      </c>
    </row>
    <row r="2" spans="8:10" ht="12.75">
      <c r="H2" s="199" t="s">
        <v>300</v>
      </c>
      <c r="I2" s="199">
        <v>2</v>
      </c>
      <c r="J2" s="199" t="str">
        <f>INDEX('Lookup tables'!I5:I6,'road details and costs back end'!I2)</f>
        <v>No</v>
      </c>
    </row>
    <row r="3" spans="8:10" ht="12.75">
      <c r="H3" s="199" t="s">
        <v>301</v>
      </c>
      <c r="I3" s="199">
        <v>2</v>
      </c>
      <c r="J3" s="199" t="str">
        <f>INDEX('Lookup tables'!O5:O6,'road details and costs back end'!I3)</f>
        <v>No</v>
      </c>
    </row>
    <row r="4" spans="8:10" ht="12.75">
      <c r="H4" s="199" t="s">
        <v>302</v>
      </c>
      <c r="I4" s="199">
        <v>2</v>
      </c>
      <c r="J4" s="199" t="str">
        <f>INDEX('Lookup tables'!U5:U6,'road details and costs back end'!I4)</f>
        <v>No</v>
      </c>
    </row>
    <row r="5" spans="9:10" ht="12.75">
      <c r="I5" s="199">
        <v>2</v>
      </c>
      <c r="J5" s="199" t="str">
        <f>INDEX('Lookup tables'!I9:I14,'road details and costs back end'!I5)</f>
        <v>CAP</v>
      </c>
    </row>
    <row r="6" spans="1:10" ht="18">
      <c r="A6" s="198"/>
      <c r="I6" s="199">
        <v>7</v>
      </c>
      <c r="J6" s="199" t="str">
        <f>INDEX('Lookup tables'!I16:I23,'road details and costs back end'!I6)</f>
        <v>Profiled</v>
      </c>
    </row>
    <row r="7" spans="9:11" ht="12.75">
      <c r="I7" s="199">
        <v>2</v>
      </c>
      <c r="J7" s="205">
        <f>INDEX('Lookup tables'!I26:I28,'road details and costs back end'!I7)</f>
        <v>150</v>
      </c>
      <c r="K7" s="200" t="s">
        <v>245</v>
      </c>
    </row>
    <row r="8" spans="9:13" ht="12.75">
      <c r="I8" s="207" t="s">
        <v>195</v>
      </c>
      <c r="J8" s="199" t="str">
        <f>CONCATENATE(LEFT(J5,2),LEFT(J6,2),J7,'Front end MB'!C7)</f>
        <v>CAPr1501</v>
      </c>
      <c r="K8" s="200" t="s">
        <v>65</v>
      </c>
      <c r="L8" s="199">
        <v>1</v>
      </c>
      <c r="M8" s="207" t="str">
        <f>INDEX('Lookup tables'!I35:I37,'road details and costs back end'!L8)</f>
        <v>Ceramic RPM</v>
      </c>
    </row>
    <row r="9" spans="9:13" ht="12.75">
      <c r="I9" s="207" t="s">
        <v>193</v>
      </c>
      <c r="J9" s="199" t="str">
        <f>CONCATENATE(LEFT(J5,2),LEFT(J6,2),J7,'Front end RC'!C7)</f>
        <v>CAPr1501</v>
      </c>
      <c r="K9" s="200" t="s">
        <v>249</v>
      </c>
      <c r="L9" s="199">
        <v>5</v>
      </c>
      <c r="M9" s="207">
        <f>INDEX('Lookup tables'!I40:I46,'road details and costs back end'!L9)</f>
        <v>10</v>
      </c>
    </row>
    <row r="10" spans="1:13" ht="18">
      <c r="A10" s="201" t="s">
        <v>3</v>
      </c>
      <c r="B10" s="202"/>
      <c r="C10" s="202"/>
      <c r="D10" s="202"/>
      <c r="I10" s="207" t="s">
        <v>194</v>
      </c>
      <c r="J10" s="199" t="str">
        <f>CONCATENATE(LEFT(J5,2),LEFT(J6,2),J7,'Front end RB'!C7)</f>
        <v>CAPr1501</v>
      </c>
      <c r="K10" s="200" t="s">
        <v>260</v>
      </c>
      <c r="M10" s="199">
        <f>'Front end MB'!C7</f>
        <v>1</v>
      </c>
    </row>
    <row r="11" spans="1:13" ht="15.75">
      <c r="A11" s="203" t="s">
        <v>0</v>
      </c>
      <c r="B11" s="204"/>
      <c r="C11" s="202"/>
      <c r="D11" s="202"/>
      <c r="I11" s="207" t="s">
        <v>216</v>
      </c>
      <c r="J11" s="205">
        <f>TYPE('Front end MB'!F18)</f>
        <v>1</v>
      </c>
      <c r="K11" s="200" t="s">
        <v>70</v>
      </c>
      <c r="M11" s="208" t="str">
        <f>CONCATENATE(LEFT(M8),M9,M10)</f>
        <v>C101</v>
      </c>
    </row>
    <row r="12" spans="1:8" ht="12.75">
      <c r="A12" s="202" t="s">
        <v>78</v>
      </c>
      <c r="B12" s="202"/>
      <c r="C12" s="202"/>
      <c r="D12" s="206" t="str">
        <f>IF(AADT&lt;1000,"Low",IF(AADT&lt;4001,"Med",IF(AADT&gt;4000,"High")))</f>
        <v>High</v>
      </c>
      <c r="H12" s="199" t="s">
        <v>300</v>
      </c>
    </row>
    <row r="13" spans="1:8" ht="12.75">
      <c r="A13" s="202" t="s">
        <v>79</v>
      </c>
      <c r="B13" s="202"/>
      <c r="C13" s="202"/>
      <c r="D13" s="202"/>
      <c r="H13" s="199" t="s">
        <v>301</v>
      </c>
    </row>
    <row r="14" spans="1:8" ht="12.75">
      <c r="A14" s="202" t="s">
        <v>80</v>
      </c>
      <c r="B14" s="202"/>
      <c r="C14" s="202"/>
      <c r="D14" s="202"/>
      <c r="H14" s="199" t="s">
        <v>302</v>
      </c>
    </row>
    <row r="15" spans="1:9" ht="12.75">
      <c r="A15" s="202"/>
      <c r="B15" s="202"/>
      <c r="C15" s="202"/>
      <c r="D15" s="202"/>
      <c r="I15" s="200" t="s">
        <v>139</v>
      </c>
    </row>
    <row r="16" spans="1:10" ht="12.75">
      <c r="A16" s="203" t="s">
        <v>74</v>
      </c>
      <c r="B16" s="202"/>
      <c r="C16" s="202"/>
      <c r="D16" s="202"/>
      <c r="I16" s="199">
        <v>1</v>
      </c>
      <c r="J16" s="199" t="str">
        <f>INDEX('Lookup tables'!I5:I6,'road details and costs back end'!I16)</f>
        <v>Yes</v>
      </c>
    </row>
    <row r="17" spans="1:4" ht="12.75">
      <c r="A17" s="202" t="s">
        <v>90</v>
      </c>
      <c r="B17" s="202"/>
      <c r="C17" s="202">
        <v>1</v>
      </c>
      <c r="D17" s="202" t="str">
        <f>INDEX(A17:A19,C17)</f>
        <v>Level</v>
      </c>
    </row>
    <row r="18" spans="1:4" ht="12.75">
      <c r="A18" s="202" t="s">
        <v>91</v>
      </c>
      <c r="B18" s="202"/>
      <c r="C18" s="202"/>
      <c r="D18" s="202"/>
    </row>
    <row r="19" spans="1:10" ht="12.75">
      <c r="A19" s="202" t="s">
        <v>92</v>
      </c>
      <c r="B19" s="202"/>
      <c r="C19" s="202"/>
      <c r="D19" s="202"/>
      <c r="I19" s="199">
        <v>2</v>
      </c>
      <c r="J19" s="199" t="str">
        <f>INDEX('Lookup tables'!I9:I13,'road details and costs back end'!I19)</f>
        <v>CAP</v>
      </c>
    </row>
    <row r="20" spans="1:10" ht="12.75">
      <c r="A20" s="202"/>
      <c r="B20" s="202"/>
      <c r="C20" s="203" t="s">
        <v>70</v>
      </c>
      <c r="D20" s="202" t="str">
        <f>CONCATENATE(LEFT(D12),LEFT(D17))</f>
        <v>HL</v>
      </c>
      <c r="I20" s="199">
        <v>7</v>
      </c>
      <c r="J20" s="199" t="str">
        <f>INDEX('Lookup tables'!I16:I23,'road details and costs back end'!I20)</f>
        <v>Profiled</v>
      </c>
    </row>
    <row r="21" spans="1:11" ht="12.75">
      <c r="A21" s="202"/>
      <c r="B21" s="202"/>
      <c r="C21" s="202"/>
      <c r="D21" s="202"/>
      <c r="I21" s="199">
        <v>2</v>
      </c>
      <c r="J21" s="205">
        <f>INDEX('Lookup tables'!I26:I28,'road details and costs back end'!I21)</f>
        <v>150</v>
      </c>
      <c r="K21" s="200" t="s">
        <v>245</v>
      </c>
    </row>
    <row r="22" spans="1:13" ht="12.75">
      <c r="A22" s="203" t="s">
        <v>1</v>
      </c>
      <c r="B22" s="202"/>
      <c r="C22" s="202"/>
      <c r="D22" s="202"/>
      <c r="I22" s="207" t="s">
        <v>195</v>
      </c>
      <c r="J22" s="199" t="str">
        <f>CONCATENATE(LEFT(J19,2),LEFT(J20,2),J21,'Front end MB'!C7)</f>
        <v>CAPr1501</v>
      </c>
      <c r="K22" s="200" t="s">
        <v>65</v>
      </c>
      <c r="L22" s="199">
        <v>2</v>
      </c>
      <c r="M22" s="207" t="s">
        <v>261</v>
      </c>
    </row>
    <row r="23" spans="1:13" ht="12.75">
      <c r="A23" s="209">
        <v>2.75</v>
      </c>
      <c r="B23" s="202"/>
      <c r="C23" s="202">
        <v>4</v>
      </c>
      <c r="D23" s="202">
        <f>INDEX(A23:A27,C23)</f>
        <v>3.5</v>
      </c>
      <c r="I23" s="207" t="s">
        <v>193</v>
      </c>
      <c r="J23" s="199" t="str">
        <f>CONCATENATE(LEFT(J19,2),LEFT(J20,2),J21,'Front end RC'!C7)</f>
        <v>CAPr1501</v>
      </c>
      <c r="K23" s="200" t="s">
        <v>249</v>
      </c>
      <c r="L23" s="199">
        <v>4</v>
      </c>
      <c r="M23" s="199">
        <f>INDEX('Lookup tables'!I40:I46,'road details and costs back end'!L23)</f>
        <v>5</v>
      </c>
    </row>
    <row r="24" spans="1:13" ht="12.75">
      <c r="A24" s="209">
        <v>3</v>
      </c>
      <c r="B24" s="202"/>
      <c r="C24" s="202"/>
      <c r="D24" s="202"/>
      <c r="I24" s="207" t="s">
        <v>194</v>
      </c>
      <c r="J24" s="199" t="str">
        <f>CONCATENATE(LEFT(J19,2),LEFT(J20,2),J21,'Front end RB'!C7)</f>
        <v>CAPr1501</v>
      </c>
      <c r="K24" s="200" t="s">
        <v>260</v>
      </c>
      <c r="M24" s="199">
        <f>M10</f>
        <v>1</v>
      </c>
    </row>
    <row r="25" spans="1:13" ht="12.75">
      <c r="A25" s="209">
        <v>3.25</v>
      </c>
      <c r="B25" s="202"/>
      <c r="C25" s="202"/>
      <c r="D25" s="202"/>
      <c r="I25" s="207" t="s">
        <v>216</v>
      </c>
      <c r="J25" s="205">
        <f>TYPE('Front end MB'!F32)</f>
        <v>1</v>
      </c>
      <c r="K25" s="200" t="s">
        <v>70</v>
      </c>
      <c r="M25" s="208" t="str">
        <f>CONCATENATE(LEFT(M22),M23,M24)</f>
        <v>P51</v>
      </c>
    </row>
    <row r="26" spans="1:4" ht="12.75">
      <c r="A26" s="209">
        <v>3.5</v>
      </c>
      <c r="B26" s="202"/>
      <c r="C26" s="202"/>
      <c r="D26" s="202"/>
    </row>
    <row r="27" spans="1:21" ht="12.75">
      <c r="A27" s="209">
        <v>3.6</v>
      </c>
      <c r="B27" s="202"/>
      <c r="C27" s="202"/>
      <c r="D27" s="202"/>
      <c r="P27" s="210"/>
      <c r="Q27" s="210"/>
      <c r="R27" s="210"/>
      <c r="S27" s="210" t="s">
        <v>204</v>
      </c>
      <c r="T27" s="210" t="s">
        <v>205</v>
      </c>
      <c r="U27" s="210"/>
    </row>
    <row r="28" spans="1:21" ht="12.75">
      <c r="A28" s="202"/>
      <c r="B28" s="202"/>
      <c r="C28" s="202"/>
      <c r="D28" s="202"/>
      <c r="P28" s="210" t="s">
        <v>61</v>
      </c>
      <c r="Q28" s="210">
        <v>1</v>
      </c>
      <c r="R28" s="210" t="str">
        <f aca="true" t="shared" si="0" ref="R28:R35">CONCATENATE(LEFT(P28,2),Q28)</f>
        <v>Wa1</v>
      </c>
      <c r="S28" s="210">
        <f>'Lookup tables'!F4</f>
        <v>420</v>
      </c>
      <c r="T28" s="210">
        <f>'Treatment life'!E3</f>
        <v>1</v>
      </c>
      <c r="U28" s="210"/>
    </row>
    <row r="29" spans="1:21" ht="12.75">
      <c r="A29" s="203" t="s">
        <v>98</v>
      </c>
      <c r="B29" s="202"/>
      <c r="C29" s="202"/>
      <c r="D29" s="202"/>
      <c r="I29" s="200" t="s">
        <v>148</v>
      </c>
      <c r="P29" s="210" t="s">
        <v>61</v>
      </c>
      <c r="Q29" s="210">
        <v>2</v>
      </c>
      <c r="R29" s="210" t="str">
        <f t="shared" si="0"/>
        <v>Wa2</v>
      </c>
      <c r="S29" s="210">
        <f>'Lookup tables'!F5</f>
        <v>610</v>
      </c>
      <c r="T29" s="210">
        <f>'Treatment life'!E3</f>
        <v>1</v>
      </c>
      <c r="U29" s="210"/>
    </row>
    <row r="30" spans="1:21" ht="12.75">
      <c r="A30" s="209">
        <v>0</v>
      </c>
      <c r="B30" s="202"/>
      <c r="C30" s="202">
        <v>3</v>
      </c>
      <c r="D30" s="202">
        <f>INDEX(A30:A36,C30)</f>
        <v>0.5</v>
      </c>
      <c r="I30" s="199" t="s">
        <v>61</v>
      </c>
      <c r="K30" s="199">
        <v>1</v>
      </c>
      <c r="L30" s="199" t="str">
        <f>INDEX(I30:I33,K30)</f>
        <v>Waterborne</v>
      </c>
      <c r="P30" s="210" t="s">
        <v>62</v>
      </c>
      <c r="Q30" s="210">
        <v>1</v>
      </c>
      <c r="R30" s="210" t="str">
        <f t="shared" si="0"/>
        <v>Al1</v>
      </c>
      <c r="S30" s="210">
        <f>'Lookup tables'!F10</f>
        <v>390</v>
      </c>
      <c r="T30" s="210">
        <f>'Treatment life'!E4</f>
        <v>0.5</v>
      </c>
      <c r="U30" s="210"/>
    </row>
    <row r="31" spans="1:21" ht="12.75">
      <c r="A31" s="209">
        <v>0.25</v>
      </c>
      <c r="B31" s="202"/>
      <c r="C31" s="202"/>
      <c r="D31" s="202"/>
      <c r="I31" s="199" t="s">
        <v>62</v>
      </c>
      <c r="P31" s="210" t="s">
        <v>62</v>
      </c>
      <c r="Q31" s="210">
        <v>2</v>
      </c>
      <c r="R31" s="210" t="str">
        <f t="shared" si="0"/>
        <v>Al2</v>
      </c>
      <c r="S31" s="210">
        <f>'Lookup tables'!F11</f>
        <v>580</v>
      </c>
      <c r="T31" s="210">
        <f>'Treatment life'!E4</f>
        <v>0.5</v>
      </c>
      <c r="U31" s="210"/>
    </row>
    <row r="32" spans="1:21" ht="12.75">
      <c r="A32" s="209">
        <v>0.5</v>
      </c>
      <c r="B32" s="202"/>
      <c r="C32" s="202"/>
      <c r="D32" s="202"/>
      <c r="I32" s="199" t="s">
        <v>73</v>
      </c>
      <c r="P32" s="210" t="s">
        <v>73</v>
      </c>
      <c r="Q32" s="210">
        <v>1</v>
      </c>
      <c r="R32" s="210" t="str">
        <f t="shared" si="0"/>
        <v>CA1</v>
      </c>
      <c r="S32" s="210">
        <f>'Lookup tables'!F16</f>
        <v>1400</v>
      </c>
      <c r="T32" s="210">
        <f>'Treatment life'!E5</f>
        <v>4</v>
      </c>
      <c r="U32" s="210"/>
    </row>
    <row r="33" spans="1:21" ht="12.75">
      <c r="A33" s="209">
        <v>0.75</v>
      </c>
      <c r="B33" s="202"/>
      <c r="C33" s="202"/>
      <c r="D33" s="202"/>
      <c r="G33" s="200"/>
      <c r="H33" s="200"/>
      <c r="I33" s="199" t="s">
        <v>196</v>
      </c>
      <c r="P33" s="210" t="s">
        <v>73</v>
      </c>
      <c r="Q33" s="210">
        <v>2</v>
      </c>
      <c r="R33" s="210" t="str">
        <f t="shared" si="0"/>
        <v>CA2</v>
      </c>
      <c r="S33" s="210">
        <f>'Lookup tables'!F17</f>
        <v>1500</v>
      </c>
      <c r="T33" s="210">
        <f>'Treatment life'!E5</f>
        <v>4</v>
      </c>
      <c r="U33" s="210"/>
    </row>
    <row r="34" spans="1:21" ht="12.75">
      <c r="A34" s="209">
        <v>1</v>
      </c>
      <c r="B34" s="202"/>
      <c r="C34" s="202"/>
      <c r="D34" s="202"/>
      <c r="I34" s="211" t="s">
        <v>183</v>
      </c>
      <c r="J34" s="212">
        <f>IF(AVERAGE('Front end MB'!F24,'Front end MB'!F38)&lt;'Front end MB'!F12,AVERAGE('Front end MB'!F24,'Front end MB'!F38),'Front end MB'!F12)</f>
        <v>4</v>
      </c>
      <c r="P34" s="210" t="s">
        <v>196</v>
      </c>
      <c r="Q34" s="210">
        <v>1</v>
      </c>
      <c r="R34" s="210" t="str">
        <f t="shared" si="0"/>
        <v>Th1</v>
      </c>
      <c r="S34" s="210">
        <f>'Lookup tables'!F34</f>
        <v>1200</v>
      </c>
      <c r="T34" s="210">
        <f>'Treatment life'!E8</f>
        <v>4</v>
      </c>
      <c r="U34" s="210"/>
    </row>
    <row r="35" spans="1:21" ht="13.5" thickBot="1">
      <c r="A35" s="209">
        <v>1.5</v>
      </c>
      <c r="B35" s="202"/>
      <c r="C35" s="202"/>
      <c r="D35" s="202"/>
      <c r="I35" s="208" t="s">
        <v>184</v>
      </c>
      <c r="J35" s="213">
        <f>(1-(1+0.1)^-J34)/LN(1+0.1)</f>
        <v>3.3258414293805103</v>
      </c>
      <c r="P35" s="210" t="s">
        <v>196</v>
      </c>
      <c r="Q35" s="210">
        <v>2</v>
      </c>
      <c r="R35" s="210" t="str">
        <f t="shared" si="0"/>
        <v>Th2</v>
      </c>
      <c r="S35" s="210">
        <f>'Lookup tables'!F35</f>
        <v>1250</v>
      </c>
      <c r="T35" s="210">
        <f>'Treatment life'!E8</f>
        <v>4</v>
      </c>
      <c r="U35" s="210"/>
    </row>
    <row r="36" spans="1:21" ht="12.75">
      <c r="A36" s="209">
        <v>2</v>
      </c>
      <c r="B36" s="202"/>
      <c r="C36" s="202"/>
      <c r="D36" s="202"/>
      <c r="E36" s="214" t="s">
        <v>93</v>
      </c>
      <c r="F36" s="215"/>
      <c r="G36" s="216">
        <f>VLOOKUP('road details and costs back end'!D20,'RM tables'!C21:D29,2,FALSE)*'road details and costs back end'!D39</f>
        <v>15.72</v>
      </c>
      <c r="P36" s="210"/>
      <c r="Q36" s="210"/>
      <c r="R36" s="210"/>
      <c r="S36" s="210"/>
      <c r="T36" s="210"/>
      <c r="U36" s="210"/>
    </row>
    <row r="37" spans="1:21" ht="12.75">
      <c r="A37" s="202"/>
      <c r="B37" s="202"/>
      <c r="C37" s="202"/>
      <c r="D37" s="202"/>
      <c r="P37" s="210"/>
      <c r="Q37" s="210"/>
      <c r="R37" s="210"/>
      <c r="S37" s="210"/>
      <c r="T37" s="210"/>
      <c r="U37" s="210"/>
    </row>
    <row r="38" spans="1:21" ht="12.75">
      <c r="A38" s="202"/>
      <c r="B38" s="202"/>
      <c r="C38" s="217" t="s">
        <v>120</v>
      </c>
      <c r="D38" s="202" t="str">
        <f>CONCATENATE(D12,D23,D30)</f>
        <v>High3.50.5</v>
      </c>
      <c r="I38" s="200" t="s">
        <v>145</v>
      </c>
      <c r="L38" s="205">
        <f>'Front end MB'!C7</f>
        <v>1</v>
      </c>
      <c r="P38" s="210"/>
      <c r="Q38" s="210"/>
      <c r="R38" s="218" t="s">
        <v>281</v>
      </c>
      <c r="S38" s="210"/>
      <c r="T38" s="210"/>
      <c r="U38" s="210"/>
    </row>
    <row r="39" spans="1:21" ht="12.75">
      <c r="A39" s="202"/>
      <c r="B39" s="202" t="s">
        <v>121</v>
      </c>
      <c r="C39" s="202"/>
      <c r="D39" s="202">
        <f>VLOOKUP(D38,'RM tables'!Q18:R122,2,FALSE)</f>
        <v>1.31</v>
      </c>
      <c r="P39" s="210"/>
      <c r="Q39" s="210"/>
      <c r="R39" s="210" t="s">
        <v>282</v>
      </c>
      <c r="S39" s="210">
        <f>T28</f>
        <v>1</v>
      </c>
      <c r="T39" s="210"/>
      <c r="U39" s="210"/>
    </row>
    <row r="40" spans="1:21" ht="12.75">
      <c r="A40" s="202"/>
      <c r="B40" s="202"/>
      <c r="C40" s="202"/>
      <c r="D40" s="202"/>
      <c r="K40" s="208" t="s">
        <v>150</v>
      </c>
      <c r="L40" s="199" t="str">
        <f>CONCATENATE(LEFT(L30,2),L38)</f>
        <v>Wa1</v>
      </c>
      <c r="P40" s="210"/>
      <c r="Q40" s="210"/>
      <c r="R40" s="210" t="s">
        <v>283</v>
      </c>
      <c r="S40" s="210">
        <f aca="true" t="shared" si="1" ref="S40:S46">T29</f>
        <v>1</v>
      </c>
      <c r="T40" s="210"/>
      <c r="U40" s="210"/>
    </row>
    <row r="41" spans="1:21" ht="12.75">
      <c r="A41" s="203" t="s">
        <v>143</v>
      </c>
      <c r="B41" s="202"/>
      <c r="C41" s="202"/>
      <c r="D41" s="202"/>
      <c r="K41" s="208" t="s">
        <v>281</v>
      </c>
      <c r="L41" s="199">
        <f>VLOOKUP(L40,R39:S46,2,FALSE)</f>
        <v>1</v>
      </c>
      <c r="P41" s="210"/>
      <c r="Q41" s="210"/>
      <c r="R41" s="210" t="s">
        <v>284</v>
      </c>
      <c r="S41" s="210">
        <f t="shared" si="1"/>
        <v>0.5</v>
      </c>
      <c r="T41" s="210"/>
      <c r="U41" s="210"/>
    </row>
    <row r="42" spans="1:21" ht="15.75">
      <c r="A42" s="202"/>
      <c r="B42" s="202">
        <f>COUNT('Front end MB'!C16)</f>
        <v>0</v>
      </c>
      <c r="C42" s="202"/>
      <c r="D42" s="202">
        <f>IF(B42=0,'Front end MB'!C15,'Front end MB'!C16)</f>
        <v>0.28689</v>
      </c>
      <c r="J42" s="219"/>
      <c r="P42" s="210"/>
      <c r="Q42" s="210"/>
      <c r="R42" s="210" t="s">
        <v>285</v>
      </c>
      <c r="S42" s="210">
        <f t="shared" si="1"/>
        <v>0.5</v>
      </c>
      <c r="T42" s="210"/>
      <c r="U42" s="210"/>
    </row>
    <row r="43" spans="16:21" ht="12.75">
      <c r="P43" s="210"/>
      <c r="Q43" s="210"/>
      <c r="R43" s="210" t="s">
        <v>286</v>
      </c>
      <c r="S43" s="210">
        <f t="shared" si="1"/>
        <v>4</v>
      </c>
      <c r="T43" s="210"/>
      <c r="U43" s="210"/>
    </row>
    <row r="44" spans="16:21" ht="12.75">
      <c r="P44" s="210"/>
      <c r="Q44" s="210"/>
      <c r="R44" s="210" t="s">
        <v>287</v>
      </c>
      <c r="S44" s="210">
        <f t="shared" si="1"/>
        <v>4</v>
      </c>
      <c r="T44" s="210"/>
      <c r="U44" s="210"/>
    </row>
    <row r="45" spans="16:21" ht="12.75">
      <c r="P45" s="210"/>
      <c r="Q45" s="210"/>
      <c r="R45" s="210" t="s">
        <v>288</v>
      </c>
      <c r="S45" s="210">
        <f t="shared" si="1"/>
        <v>4</v>
      </c>
      <c r="T45" s="210"/>
      <c r="U45" s="210"/>
    </row>
    <row r="46" spans="1:21" ht="12.75">
      <c r="A46" s="200" t="s">
        <v>127</v>
      </c>
      <c r="P46" s="210"/>
      <c r="Q46" s="210"/>
      <c r="R46" s="210" t="s">
        <v>289</v>
      </c>
      <c r="S46" s="210">
        <f t="shared" si="1"/>
        <v>4</v>
      </c>
      <c r="T46" s="210"/>
      <c r="U46" s="210"/>
    </row>
    <row r="47" spans="3:21" ht="12.75">
      <c r="C47" s="202" t="s">
        <v>236</v>
      </c>
      <c r="D47" s="202"/>
      <c r="P47" s="210"/>
      <c r="Q47" s="210"/>
      <c r="R47" s="210"/>
      <c r="S47" s="210"/>
      <c r="T47" s="210"/>
      <c r="U47" s="210"/>
    </row>
    <row r="48" spans="1:21" ht="12.75">
      <c r="A48" s="200">
        <v>5</v>
      </c>
      <c r="C48" s="202">
        <v>3</v>
      </c>
      <c r="D48" s="202">
        <f>INDEX(A48:A56,C48)</f>
        <v>15</v>
      </c>
      <c r="P48" s="218" t="s">
        <v>130</v>
      </c>
      <c r="Q48" s="210"/>
      <c r="R48" s="210"/>
      <c r="S48" s="210"/>
      <c r="T48" s="210"/>
      <c r="U48" s="210"/>
    </row>
    <row r="49" spans="1:21" ht="12.75">
      <c r="A49" s="200">
        <v>10</v>
      </c>
      <c r="C49" s="220" t="s">
        <v>237</v>
      </c>
      <c r="D49" s="220"/>
      <c r="P49" s="210" t="s">
        <v>181</v>
      </c>
      <c r="Q49" s="210">
        <f>COUNT('Front end MB'!F8)</f>
        <v>0</v>
      </c>
      <c r="R49" s="210"/>
      <c r="S49" s="210">
        <f>IF('road details and costs back end'!Q49=0,'Front end MB'!F7,'Front end MB'!F8)</f>
        <v>1680</v>
      </c>
      <c r="T49" s="210"/>
      <c r="U49" s="210"/>
    </row>
    <row r="50" spans="1:21" ht="12.75">
      <c r="A50" s="200">
        <v>15</v>
      </c>
      <c r="C50" s="220">
        <v>5</v>
      </c>
      <c r="D50" s="220">
        <f>INDEX(A48:A56,C50)</f>
        <v>25</v>
      </c>
      <c r="P50" s="210"/>
      <c r="Q50" s="210"/>
      <c r="R50" s="210"/>
      <c r="S50" s="210"/>
      <c r="T50" s="210"/>
      <c r="U50" s="210"/>
    </row>
    <row r="51" spans="1:21" ht="12.75">
      <c r="A51" s="200">
        <v>20</v>
      </c>
      <c r="C51" s="221" t="s">
        <v>238</v>
      </c>
      <c r="D51" s="221"/>
      <c r="P51" s="210"/>
      <c r="Q51" s="210"/>
      <c r="R51" s="210"/>
      <c r="S51" s="210"/>
      <c r="T51" s="210"/>
      <c r="U51" s="210"/>
    </row>
    <row r="52" spans="1:4" ht="12.75">
      <c r="A52" s="200">
        <v>25</v>
      </c>
      <c r="C52" s="221">
        <v>2</v>
      </c>
      <c r="D52" s="221">
        <f>INDEX(A48:A56,C52)</f>
        <v>10</v>
      </c>
    </row>
    <row r="53" ht="12.75">
      <c r="A53" s="200">
        <v>30</v>
      </c>
    </row>
    <row r="54" ht="12.75">
      <c r="A54" s="200">
        <v>35</v>
      </c>
    </row>
    <row r="55" ht="12.75">
      <c r="A55" s="200">
        <v>40</v>
      </c>
    </row>
    <row r="56" ht="12.75">
      <c r="A56" s="200">
        <v>45</v>
      </c>
    </row>
    <row r="58" spans="1:5" ht="12.75">
      <c r="A58" s="200" t="s">
        <v>130</v>
      </c>
      <c r="E58" s="199" t="s">
        <v>136</v>
      </c>
    </row>
    <row r="59" spans="1:5" ht="12.75">
      <c r="A59" s="199" t="s">
        <v>57</v>
      </c>
      <c r="B59" s="199">
        <f>COUNT('Front end MB'!F19)</f>
        <v>0</v>
      </c>
      <c r="D59" s="199">
        <f>IF('road details and costs back end'!B59=0,'Front end MB'!F18,'Front end MB'!F19)</f>
        <v>15000</v>
      </c>
      <c r="E59" s="199">
        <f>IF('Lookup tables'!J5=2,0,'road details and costs back end'!D59)</f>
        <v>15000</v>
      </c>
    </row>
    <row r="60" spans="1:5" ht="12.75">
      <c r="A60" s="199" t="s">
        <v>124</v>
      </c>
      <c r="B60" s="199">
        <f>COUNT('Front end MB'!F33)</f>
        <v>0</v>
      </c>
      <c r="D60" s="199">
        <f>IF('road details and costs back end'!B60=0,'Front end MB'!F32,'Front end MB'!F33)</f>
        <v>0</v>
      </c>
      <c r="E60" s="199">
        <f>IF('Lookup tables'!M5=2,0,'road details and costs back end'!D60)</f>
        <v>0</v>
      </c>
    </row>
    <row r="62" spans="1:6" ht="12.75">
      <c r="A62" s="220"/>
      <c r="B62" s="220"/>
      <c r="C62" s="220"/>
      <c r="D62" s="220"/>
      <c r="E62" s="220"/>
      <c r="F62" s="220"/>
    </row>
    <row r="63" spans="1:6" ht="18">
      <c r="A63" s="222" t="s">
        <v>167</v>
      </c>
      <c r="B63" s="220"/>
      <c r="C63" s="220"/>
      <c r="D63" s="220"/>
      <c r="E63" s="220"/>
      <c r="F63" s="220"/>
    </row>
    <row r="64" ht="18">
      <c r="A64" s="223"/>
    </row>
    <row r="65" spans="1:5" ht="12.75">
      <c r="A65" s="200" t="s">
        <v>130</v>
      </c>
      <c r="E65" s="199" t="s">
        <v>136</v>
      </c>
    </row>
    <row r="66" spans="1:5" ht="12.75">
      <c r="A66" s="199" t="s">
        <v>57</v>
      </c>
      <c r="B66" s="199">
        <f>COUNT('Front end RC'!F19)</f>
        <v>0</v>
      </c>
      <c r="D66" s="199">
        <f>IF('road details and costs back end'!B66=0,'Front end RC'!F18,'Front end RC'!F19)</f>
        <v>15000</v>
      </c>
      <c r="E66" s="199">
        <f>IF('Lookup tables'!P5=2,0,'road details and costs back end'!D66)</f>
        <v>15000</v>
      </c>
    </row>
    <row r="67" spans="1:5" ht="12.75">
      <c r="A67" s="199" t="s">
        <v>124</v>
      </c>
      <c r="B67" s="199">
        <f>COUNT('Front end RC'!F33)</f>
        <v>0</v>
      </c>
      <c r="D67" s="199">
        <f>IF('road details and costs back end'!B67=0,'Front end RC'!F32,'Front end RC'!F33)</f>
        <v>15000</v>
      </c>
      <c r="E67" s="199">
        <f>IF('Lookup tables'!S5=2,0,'road details and costs back end'!D67)</f>
        <v>15000</v>
      </c>
    </row>
    <row r="69" ht="12.75">
      <c r="A69" s="199" t="s">
        <v>143</v>
      </c>
    </row>
    <row r="70" spans="2:4" ht="12.75">
      <c r="B70" s="199">
        <f>COUNT('Front end RC'!C19)</f>
        <v>0</v>
      </c>
      <c r="D70" s="199">
        <f>IF(B70=0,'Front end RC'!C18,'Front end RC'!C19)</f>
        <v>0.13003085800402192</v>
      </c>
    </row>
    <row r="71" ht="12.75">
      <c r="C71" s="199" t="s">
        <v>178</v>
      </c>
    </row>
    <row r="72" spans="1:3" ht="12.75">
      <c r="A72" s="224" t="s">
        <v>176</v>
      </c>
      <c r="B72" s="225">
        <f>1-('Front end RC'!C10/'Front end RC'!C11)</f>
        <v>0.30000000000000004</v>
      </c>
      <c r="C72" s="225">
        <f>IF(B72&lt;0,0,B72)</f>
        <v>0.30000000000000004</v>
      </c>
    </row>
    <row r="73" spans="1:3" ht="12.75">
      <c r="A73" s="224" t="s">
        <v>177</v>
      </c>
      <c r="B73" s="225">
        <f>1-('Front end RC'!C12/'Front end RC'!C13)</f>
        <v>0.19999999999999996</v>
      </c>
      <c r="C73" s="225">
        <f>IF(B73&lt;0,0,B73)</f>
        <v>0.19999999999999996</v>
      </c>
    </row>
    <row r="75" spans="1:6" ht="18">
      <c r="A75" s="226" t="s">
        <v>169</v>
      </c>
      <c r="B75" s="221"/>
      <c r="C75" s="221"/>
      <c r="D75" s="221"/>
      <c r="E75" s="221"/>
      <c r="F75" s="221"/>
    </row>
    <row r="77" spans="1:5" ht="12.75">
      <c r="A77" s="200" t="s">
        <v>130</v>
      </c>
      <c r="E77" s="199" t="s">
        <v>136</v>
      </c>
    </row>
    <row r="78" spans="1:5" ht="12.75">
      <c r="A78" s="199" t="s">
        <v>57</v>
      </c>
      <c r="B78" s="199">
        <f>COUNT('Front end RB'!F19)</f>
        <v>0</v>
      </c>
      <c r="D78" s="199">
        <f>IF('road details and costs back end'!B78=0,'Front end RB'!F18,'Front end RB'!F19)</f>
        <v>0</v>
      </c>
      <c r="E78" s="199">
        <f>IF('Lookup tables'!V5=2,0,'road details and costs back end'!D78)</f>
        <v>0</v>
      </c>
    </row>
    <row r="79" spans="1:5" ht="12.75">
      <c r="A79" s="199" t="s">
        <v>124</v>
      </c>
      <c r="B79" s="199">
        <f>COUNT('Front end RB'!F33)</f>
        <v>0</v>
      </c>
      <c r="D79" s="199">
        <f>IF('road details and costs back end'!B79=0,'Front end RB'!F32,'Front end RB'!F33)</f>
        <v>15000</v>
      </c>
      <c r="E79" s="199">
        <f>IF('Lookup tables'!Y5=2,0,'road details and costs back end'!D79)</f>
        <v>15000</v>
      </c>
    </row>
    <row r="82" ht="12.75">
      <c r="A82" s="200" t="s">
        <v>168</v>
      </c>
    </row>
    <row r="83" spans="3:4" ht="12.75">
      <c r="C83" s="199" t="s">
        <v>171</v>
      </c>
      <c r="D83" s="199" t="s">
        <v>172</v>
      </c>
    </row>
    <row r="84" spans="1:4" ht="12.75">
      <c r="A84" s="225">
        <v>6</v>
      </c>
      <c r="C84" s="199">
        <v>9</v>
      </c>
      <c r="D84" s="225">
        <f>INDEX(A84:A94,C84)</f>
        <v>8</v>
      </c>
    </row>
    <row r="85" ht="12.75">
      <c r="A85" s="225">
        <v>6.25</v>
      </c>
    </row>
    <row r="86" ht="12.75">
      <c r="A86" s="225">
        <v>6.5</v>
      </c>
    </row>
    <row r="87" ht="12.75">
      <c r="A87" s="225">
        <v>6.75</v>
      </c>
    </row>
    <row r="88" ht="12.75">
      <c r="A88" s="225">
        <v>7</v>
      </c>
    </row>
    <row r="89" ht="12.75">
      <c r="A89" s="225">
        <v>7.25</v>
      </c>
    </row>
    <row r="90" ht="12.75">
      <c r="A90" s="225">
        <v>7.5</v>
      </c>
    </row>
    <row r="91" ht="12.75">
      <c r="A91" s="225">
        <v>7.75</v>
      </c>
    </row>
    <row r="92" ht="12.75">
      <c r="A92" s="225">
        <v>8</v>
      </c>
    </row>
    <row r="93" ht="12.75">
      <c r="A93" s="225">
        <v>8.25</v>
      </c>
    </row>
    <row r="94" ht="12.75">
      <c r="A94" s="225">
        <v>8.5</v>
      </c>
    </row>
    <row r="96" ht="12.75">
      <c r="A96" s="200" t="s">
        <v>173</v>
      </c>
    </row>
    <row r="97" spans="3:4" ht="12.75">
      <c r="C97" s="199" t="s">
        <v>171</v>
      </c>
      <c r="D97" s="199" t="s">
        <v>172</v>
      </c>
    </row>
    <row r="98" spans="1:4" ht="12.75">
      <c r="A98" s="225">
        <v>5.5</v>
      </c>
      <c r="C98" s="199">
        <v>7</v>
      </c>
      <c r="D98" s="225">
        <f>INDEX(A98:A106,C98)</f>
        <v>7</v>
      </c>
    </row>
    <row r="99" ht="12.75">
      <c r="A99" s="225">
        <v>5.75</v>
      </c>
    </row>
    <row r="100" ht="12.75">
      <c r="A100" s="225">
        <v>6</v>
      </c>
    </row>
    <row r="101" ht="12.75">
      <c r="A101" s="225">
        <v>6.25</v>
      </c>
    </row>
    <row r="102" ht="12.75">
      <c r="A102" s="225">
        <v>6.5</v>
      </c>
    </row>
    <row r="103" ht="12.75">
      <c r="A103" s="225">
        <v>6.75</v>
      </c>
    </row>
    <row r="104" ht="12.75">
      <c r="A104" s="225">
        <v>7</v>
      </c>
    </row>
    <row r="105" ht="12.75">
      <c r="A105" s="225">
        <v>7.25</v>
      </c>
    </row>
    <row r="106" ht="12.75">
      <c r="A106" s="225">
        <v>7.5</v>
      </c>
    </row>
    <row r="108" spans="1:3" ht="12.75">
      <c r="A108" s="227" t="s">
        <v>170</v>
      </c>
      <c r="B108" s="228"/>
      <c r="C108" s="229">
        <f>EXP(3.5-'Front end RB'!C6/7500)</f>
        <v>17.00203994009402</v>
      </c>
    </row>
    <row r="109" spans="1:3" ht="12.75">
      <c r="A109" s="230" t="s">
        <v>174</v>
      </c>
      <c r="B109" s="221"/>
      <c r="C109" s="231">
        <f>D84-D98</f>
        <v>1</v>
      </c>
    </row>
    <row r="110" spans="1:3" ht="12.75">
      <c r="A110" s="232" t="s">
        <v>93</v>
      </c>
      <c r="B110" s="228"/>
      <c r="C110" s="233">
        <f>C108*(0.5-(0.25*C109)+0.025*C109^2)</f>
        <v>4.675560983525855</v>
      </c>
    </row>
    <row r="112" ht="12.75">
      <c r="A112" s="199" t="s">
        <v>175</v>
      </c>
    </row>
    <row r="113" spans="2:4" ht="12.75">
      <c r="B113" s="199">
        <f>COUNT('Front end RB'!C15)</f>
        <v>0</v>
      </c>
      <c r="D113" s="234">
        <f>IF(B113=0,'Front end RB'!C14,'Front end RB'!C15)</f>
        <v>0.08532898794934686</v>
      </c>
    </row>
    <row r="116" spans="1:4" ht="18">
      <c r="A116" s="222" t="s">
        <v>277</v>
      </c>
      <c r="B116" s="220"/>
      <c r="C116" s="220"/>
      <c r="D116" s="202"/>
    </row>
    <row r="117" spans="4:6" ht="12.75">
      <c r="D117" s="199" t="s">
        <v>279</v>
      </c>
      <c r="E117" s="199" t="s">
        <v>280</v>
      </c>
      <c r="F117" s="199" t="s">
        <v>271</v>
      </c>
    </row>
    <row r="118" spans="1:6" ht="12.75">
      <c r="A118" s="199" t="s">
        <v>278</v>
      </c>
      <c r="D118" s="199">
        <f>'Route builder'!C16</f>
        <v>0</v>
      </c>
      <c r="E118" s="199">
        <f>AVERAGE(D47:D52)/100</f>
        <v>0.16666666666666669</v>
      </c>
      <c r="F118" s="235">
        <f>D118*'Front end MB'!C18*E118*'road details and costs back end'!J35</f>
        <v>0</v>
      </c>
    </row>
  </sheetData>
  <sheetProtection/>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3"/>
  <dimension ref="A2:R122"/>
  <sheetViews>
    <sheetView zoomScalePageLayoutView="0" workbookViewId="0" topLeftCell="A1">
      <selection activeCell="J5" sqref="J5"/>
    </sheetView>
  </sheetViews>
  <sheetFormatPr defaultColWidth="9.140625" defaultRowHeight="12.75"/>
  <cols>
    <col min="1" max="1" width="9.8515625" style="0" customWidth="1"/>
    <col min="17" max="17" width="11.140625" style="0" customWidth="1"/>
  </cols>
  <sheetData>
    <row r="2" ht="15.75">
      <c r="A2" s="26" t="s">
        <v>26</v>
      </c>
    </row>
    <row r="4" ht="20.25">
      <c r="A4" s="8" t="s">
        <v>4</v>
      </c>
    </row>
    <row r="5" ht="15.75">
      <c r="A5" s="9"/>
    </row>
    <row r="6" ht="15.75">
      <c r="A6" s="10" t="s">
        <v>5</v>
      </c>
    </row>
    <row r="7" ht="15.75">
      <c r="A7" s="10"/>
    </row>
    <row r="8" ht="18.75">
      <c r="A8" s="9" t="s">
        <v>6</v>
      </c>
    </row>
    <row r="9" ht="15.75">
      <c r="A9" s="9"/>
    </row>
    <row r="10" ht="19.5" thickBot="1">
      <c r="A10" s="11" t="s">
        <v>7</v>
      </c>
    </row>
    <row r="11" spans="1:5" ht="48" thickTop="1">
      <c r="A11" s="255" t="s">
        <v>0</v>
      </c>
      <c r="B11" s="12" t="s">
        <v>8</v>
      </c>
      <c r="C11" s="258" t="s">
        <v>10</v>
      </c>
      <c r="D11" s="259"/>
      <c r="E11" s="260"/>
    </row>
    <row r="12" spans="1:5" ht="47.25">
      <c r="A12" s="256"/>
      <c r="B12" s="13" t="s">
        <v>9</v>
      </c>
      <c r="C12" s="15" t="s">
        <v>11</v>
      </c>
      <c r="D12" s="15" t="s">
        <v>13</v>
      </c>
      <c r="E12" s="17" t="s">
        <v>15</v>
      </c>
    </row>
    <row r="13" spans="1:5" ht="31.5">
      <c r="A13" s="257"/>
      <c r="B13" s="14"/>
      <c r="C13" s="16" t="s">
        <v>12</v>
      </c>
      <c r="D13" s="16" t="s">
        <v>14</v>
      </c>
      <c r="E13" s="18" t="s">
        <v>16</v>
      </c>
    </row>
    <row r="14" spans="1:11" ht="15.75">
      <c r="A14" s="19" t="s">
        <v>17</v>
      </c>
      <c r="B14" s="20" t="s">
        <v>18</v>
      </c>
      <c r="C14" s="20">
        <v>17</v>
      </c>
      <c r="D14" s="20">
        <v>23</v>
      </c>
      <c r="E14" s="21">
        <v>32</v>
      </c>
      <c r="G14" t="s">
        <v>94</v>
      </c>
      <c r="I14" s="25"/>
      <c r="J14" s="25"/>
      <c r="K14" s="25"/>
    </row>
    <row r="15" spans="1:7" ht="32.25" thickBot="1">
      <c r="A15" s="19" t="s">
        <v>19</v>
      </c>
      <c r="B15" s="20" t="s">
        <v>20</v>
      </c>
      <c r="C15" s="20">
        <v>16</v>
      </c>
      <c r="D15" s="20">
        <v>20</v>
      </c>
      <c r="E15" s="21">
        <v>28</v>
      </c>
      <c r="G15" s="32" t="s">
        <v>99</v>
      </c>
    </row>
    <row r="16" spans="1:13" ht="17.25" thickBot="1" thickTop="1">
      <c r="A16" s="22" t="s">
        <v>21</v>
      </c>
      <c r="B16" s="23" t="s">
        <v>22</v>
      </c>
      <c r="C16" s="23">
        <v>12</v>
      </c>
      <c r="D16" s="23">
        <v>18</v>
      </c>
      <c r="E16" s="24">
        <v>24</v>
      </c>
      <c r="G16" s="261" t="s">
        <v>100</v>
      </c>
      <c r="H16" s="262"/>
      <c r="I16" s="262"/>
      <c r="J16" s="262"/>
      <c r="K16" s="262"/>
      <c r="L16" s="263"/>
      <c r="M16" s="47"/>
    </row>
    <row r="17" spans="7:18" ht="26.25" customHeight="1" thickTop="1">
      <c r="G17" s="264" t="s">
        <v>95</v>
      </c>
      <c r="H17" s="266" t="s">
        <v>101</v>
      </c>
      <c r="I17" s="267"/>
      <c r="J17" s="267"/>
      <c r="K17" s="267"/>
      <c r="L17" s="268"/>
      <c r="M17" s="48"/>
      <c r="N17" s="1" t="s">
        <v>0</v>
      </c>
      <c r="O17" s="1" t="s">
        <v>116</v>
      </c>
      <c r="P17" s="1" t="s">
        <v>117</v>
      </c>
      <c r="Q17" s="6" t="s">
        <v>71</v>
      </c>
      <c r="R17" s="1" t="s">
        <v>118</v>
      </c>
    </row>
    <row r="18" spans="7:18" ht="16.5" customHeight="1">
      <c r="G18" s="265"/>
      <c r="H18" s="33" t="s">
        <v>102</v>
      </c>
      <c r="I18" s="33" t="s">
        <v>103</v>
      </c>
      <c r="J18" s="33" t="s">
        <v>104</v>
      </c>
      <c r="K18" s="33" t="s">
        <v>105</v>
      </c>
      <c r="L18" s="34" t="s">
        <v>106</v>
      </c>
      <c r="M18" s="48"/>
      <c r="N18" s="50" t="s">
        <v>78</v>
      </c>
      <c r="O18" s="45">
        <v>2.75</v>
      </c>
      <c r="P18" s="45">
        <v>0</v>
      </c>
      <c r="Q18" t="str">
        <f>CONCATENATE(N18,O18,P18)</f>
        <v>Low2.750</v>
      </c>
      <c r="R18" s="46">
        <v>1.33</v>
      </c>
    </row>
    <row r="19" spans="7:18" ht="15">
      <c r="G19" s="35" t="s">
        <v>107</v>
      </c>
      <c r="H19" s="36">
        <v>1.33</v>
      </c>
      <c r="I19" s="36">
        <v>1.2</v>
      </c>
      <c r="J19" s="36">
        <v>1.09</v>
      </c>
      <c r="K19" s="36">
        <v>1</v>
      </c>
      <c r="L19" s="37">
        <v>0.98</v>
      </c>
      <c r="M19" s="46"/>
      <c r="N19" s="50" t="s">
        <v>78</v>
      </c>
      <c r="O19" s="45">
        <v>2.75</v>
      </c>
      <c r="P19" s="44">
        <v>0.25</v>
      </c>
      <c r="Q19" t="str">
        <f aca="true" t="shared" si="0" ref="Q19:Q82">CONCATENATE(N19,O19,P19)</f>
        <v>Low2.750.25</v>
      </c>
      <c r="R19" s="46">
        <v>1.28</v>
      </c>
    </row>
    <row r="20" spans="1:18" ht="15.75">
      <c r="A20" s="31" t="s">
        <v>0</v>
      </c>
      <c r="B20" s="31" t="s">
        <v>77</v>
      </c>
      <c r="C20" s="1" t="s">
        <v>71</v>
      </c>
      <c r="G20" s="35" t="s">
        <v>108</v>
      </c>
      <c r="H20" s="36">
        <v>1.28</v>
      </c>
      <c r="I20" s="36">
        <v>1.15</v>
      </c>
      <c r="J20" s="36">
        <v>1.05</v>
      </c>
      <c r="K20" s="36">
        <v>0.96</v>
      </c>
      <c r="L20" s="37">
        <v>0.94</v>
      </c>
      <c r="M20" s="46"/>
      <c r="N20" s="50" t="s">
        <v>78</v>
      </c>
      <c r="O20" s="45">
        <v>2.75</v>
      </c>
      <c r="P20" s="44">
        <v>0.5</v>
      </c>
      <c r="Q20" t="str">
        <f t="shared" si="0"/>
        <v>Low2.750.5</v>
      </c>
      <c r="R20" s="46">
        <v>1.23</v>
      </c>
    </row>
    <row r="21" spans="1:18" ht="15">
      <c r="A21" t="s">
        <v>78</v>
      </c>
      <c r="B21" t="s">
        <v>75</v>
      </c>
      <c r="C21" t="s">
        <v>81</v>
      </c>
      <c r="D21">
        <v>17</v>
      </c>
      <c r="G21" s="35" t="s">
        <v>109</v>
      </c>
      <c r="H21" s="36">
        <v>1.23</v>
      </c>
      <c r="I21" s="36">
        <v>1.11</v>
      </c>
      <c r="J21" s="36">
        <v>1.01</v>
      </c>
      <c r="K21" s="36">
        <v>0.92</v>
      </c>
      <c r="L21" s="37">
        <v>0.9</v>
      </c>
      <c r="M21" s="46"/>
      <c r="N21" s="50" t="s">
        <v>78</v>
      </c>
      <c r="O21" s="45">
        <v>2.75</v>
      </c>
      <c r="P21" s="44">
        <v>0.75</v>
      </c>
      <c r="Q21" t="str">
        <f t="shared" si="0"/>
        <v>Low2.750.75</v>
      </c>
      <c r="R21" s="46">
        <v>1.16</v>
      </c>
    </row>
    <row r="22" spans="1:18" ht="15">
      <c r="A22" t="s">
        <v>79</v>
      </c>
      <c r="B22" t="s">
        <v>75</v>
      </c>
      <c r="C22" t="s">
        <v>82</v>
      </c>
      <c r="D22">
        <v>16</v>
      </c>
      <c r="G22" s="35" t="s">
        <v>110</v>
      </c>
      <c r="H22" s="36">
        <v>1.16</v>
      </c>
      <c r="I22" s="36">
        <v>1.05</v>
      </c>
      <c r="J22" s="36">
        <v>0.95</v>
      </c>
      <c r="K22" s="36">
        <v>0.88</v>
      </c>
      <c r="L22" s="37">
        <v>0.86</v>
      </c>
      <c r="M22" s="46"/>
      <c r="N22" s="50" t="s">
        <v>78</v>
      </c>
      <c r="O22" s="45">
        <v>2.75</v>
      </c>
      <c r="P22" s="44">
        <v>1</v>
      </c>
      <c r="Q22" t="str">
        <f t="shared" si="0"/>
        <v>Low2.751</v>
      </c>
      <c r="R22" s="46">
        <v>1.09</v>
      </c>
    </row>
    <row r="23" spans="1:18" ht="15">
      <c r="A23" t="s">
        <v>80</v>
      </c>
      <c r="B23" t="s">
        <v>75</v>
      </c>
      <c r="C23" t="s">
        <v>83</v>
      </c>
      <c r="D23">
        <v>12</v>
      </c>
      <c r="G23" s="35" t="s">
        <v>111</v>
      </c>
      <c r="H23" s="36">
        <v>1.09</v>
      </c>
      <c r="I23" s="36">
        <v>0.98</v>
      </c>
      <c r="J23" s="36">
        <v>0.89</v>
      </c>
      <c r="K23" s="36">
        <v>0.82</v>
      </c>
      <c r="L23" s="37">
        <v>0.8</v>
      </c>
      <c r="M23" s="46"/>
      <c r="N23" s="50" t="s">
        <v>78</v>
      </c>
      <c r="O23" s="45">
        <v>2.75</v>
      </c>
      <c r="P23" s="44">
        <v>1.5</v>
      </c>
      <c r="Q23" t="str">
        <f t="shared" si="0"/>
        <v>Low2.751.5</v>
      </c>
      <c r="R23" s="46">
        <v>0.93</v>
      </c>
    </row>
    <row r="24" spans="1:18" ht="15">
      <c r="A24" t="s">
        <v>78</v>
      </c>
      <c r="B24" t="s">
        <v>25</v>
      </c>
      <c r="C24" t="s">
        <v>84</v>
      </c>
      <c r="D24">
        <v>23</v>
      </c>
      <c r="G24" s="35" t="s">
        <v>112</v>
      </c>
      <c r="H24" s="36">
        <v>0.93</v>
      </c>
      <c r="I24" s="36">
        <v>0.84</v>
      </c>
      <c r="J24" s="36">
        <v>0.77</v>
      </c>
      <c r="K24" s="36">
        <v>0.7</v>
      </c>
      <c r="L24" s="37">
        <v>0.69</v>
      </c>
      <c r="M24" s="46"/>
      <c r="N24" s="50" t="s">
        <v>78</v>
      </c>
      <c r="O24" s="45">
        <v>2.75</v>
      </c>
      <c r="P24" s="44">
        <v>2</v>
      </c>
      <c r="Q24" t="str">
        <f t="shared" si="0"/>
        <v>Low2.752</v>
      </c>
      <c r="R24" s="46">
        <v>0.78</v>
      </c>
    </row>
    <row r="25" spans="1:18" ht="15.75" thickBot="1">
      <c r="A25" t="s">
        <v>79</v>
      </c>
      <c r="B25" t="s">
        <v>25</v>
      </c>
      <c r="C25" t="s">
        <v>85</v>
      </c>
      <c r="D25">
        <v>20</v>
      </c>
      <c r="G25" s="38" t="s">
        <v>113</v>
      </c>
      <c r="H25" s="39">
        <v>0.78</v>
      </c>
      <c r="I25" s="39">
        <v>0.7</v>
      </c>
      <c r="J25" s="39">
        <v>0.64</v>
      </c>
      <c r="K25" s="39">
        <v>0.59</v>
      </c>
      <c r="L25" s="40">
        <v>0.57</v>
      </c>
      <c r="M25" s="46"/>
      <c r="N25" s="50" t="s">
        <v>78</v>
      </c>
      <c r="O25" s="45">
        <v>3</v>
      </c>
      <c r="P25" s="45">
        <v>0</v>
      </c>
      <c r="Q25" t="str">
        <f t="shared" si="0"/>
        <v>Low30</v>
      </c>
      <c r="R25" s="46">
        <v>1.2</v>
      </c>
    </row>
    <row r="26" spans="1:18" ht="15.75" thickTop="1">
      <c r="A26" t="s">
        <v>80</v>
      </c>
      <c r="B26" t="s">
        <v>25</v>
      </c>
      <c r="C26" t="s">
        <v>86</v>
      </c>
      <c r="D26">
        <v>18</v>
      </c>
      <c r="G26" s="271" t="s">
        <v>114</v>
      </c>
      <c r="H26" s="272"/>
      <c r="I26" s="272"/>
      <c r="J26" s="272"/>
      <c r="K26" s="272"/>
      <c r="L26" s="273"/>
      <c r="M26" s="47"/>
      <c r="N26" s="50" t="s">
        <v>78</v>
      </c>
      <c r="O26" s="45">
        <v>3</v>
      </c>
      <c r="P26" s="44">
        <v>0.25</v>
      </c>
      <c r="Q26" t="str">
        <f t="shared" si="0"/>
        <v>Low30.25</v>
      </c>
      <c r="R26" s="46">
        <v>1.15</v>
      </c>
    </row>
    <row r="27" spans="1:18" ht="16.5" customHeight="1">
      <c r="A27" t="s">
        <v>78</v>
      </c>
      <c r="B27" t="s">
        <v>76</v>
      </c>
      <c r="C27" t="s">
        <v>87</v>
      </c>
      <c r="D27">
        <v>32</v>
      </c>
      <c r="G27" s="264" t="s">
        <v>95</v>
      </c>
      <c r="H27" s="266" t="s">
        <v>101</v>
      </c>
      <c r="I27" s="267"/>
      <c r="J27" s="267"/>
      <c r="K27" s="267"/>
      <c r="L27" s="268"/>
      <c r="M27" s="48"/>
      <c r="N27" s="50" t="s">
        <v>78</v>
      </c>
      <c r="O27" s="45">
        <v>3</v>
      </c>
      <c r="P27" s="44">
        <v>0.5</v>
      </c>
      <c r="Q27" t="str">
        <f t="shared" si="0"/>
        <v>Low30.5</v>
      </c>
      <c r="R27" s="46">
        <v>1.11</v>
      </c>
    </row>
    <row r="28" spans="1:18" ht="15">
      <c r="A28" t="s">
        <v>79</v>
      </c>
      <c r="B28" t="s">
        <v>76</v>
      </c>
      <c r="C28" t="s">
        <v>88</v>
      </c>
      <c r="D28">
        <v>28</v>
      </c>
      <c r="G28" s="265"/>
      <c r="H28" s="33" t="s">
        <v>102</v>
      </c>
      <c r="I28" s="33" t="s">
        <v>103</v>
      </c>
      <c r="J28" s="33" t="s">
        <v>104</v>
      </c>
      <c r="K28" s="33" t="s">
        <v>105</v>
      </c>
      <c r="L28" s="34" t="s">
        <v>106</v>
      </c>
      <c r="M28" s="48"/>
      <c r="N28" s="50" t="s">
        <v>78</v>
      </c>
      <c r="O28" s="45">
        <v>3</v>
      </c>
      <c r="P28" s="44">
        <v>0.75</v>
      </c>
      <c r="Q28" t="str">
        <f t="shared" si="0"/>
        <v>Low30.75</v>
      </c>
      <c r="R28" s="46">
        <v>1.05</v>
      </c>
    </row>
    <row r="29" spans="1:18" ht="15">
      <c r="A29" t="s">
        <v>80</v>
      </c>
      <c r="B29" t="s">
        <v>76</v>
      </c>
      <c r="C29" t="s">
        <v>89</v>
      </c>
      <c r="D29">
        <v>24</v>
      </c>
      <c r="G29" s="35" t="s">
        <v>107</v>
      </c>
      <c r="H29" s="36">
        <v>1.52</v>
      </c>
      <c r="I29" s="36">
        <v>1.37</v>
      </c>
      <c r="J29" s="36">
        <v>1.25</v>
      </c>
      <c r="K29" s="36">
        <v>1.14</v>
      </c>
      <c r="L29" s="37">
        <v>1.12</v>
      </c>
      <c r="M29" s="46"/>
      <c r="N29" s="50" t="s">
        <v>78</v>
      </c>
      <c r="O29" s="45">
        <v>3</v>
      </c>
      <c r="P29" s="44">
        <v>1</v>
      </c>
      <c r="Q29" t="str">
        <f t="shared" si="0"/>
        <v>Low31</v>
      </c>
      <c r="R29" s="46">
        <v>0.98</v>
      </c>
    </row>
    <row r="30" spans="7:18" ht="15">
      <c r="G30" s="35" t="s">
        <v>108</v>
      </c>
      <c r="H30" s="36">
        <v>1.46</v>
      </c>
      <c r="I30" s="36">
        <v>1.32</v>
      </c>
      <c r="J30" s="36">
        <v>1.2</v>
      </c>
      <c r="K30" s="36">
        <v>1.1</v>
      </c>
      <c r="L30" s="37">
        <v>1.08</v>
      </c>
      <c r="M30" s="46"/>
      <c r="N30" s="50" t="s">
        <v>78</v>
      </c>
      <c r="O30" s="45">
        <v>3</v>
      </c>
      <c r="P30" s="44">
        <v>1.5</v>
      </c>
      <c r="Q30" t="str">
        <f t="shared" si="0"/>
        <v>Low31.5</v>
      </c>
      <c r="R30" s="46">
        <v>0.84</v>
      </c>
    </row>
    <row r="31" spans="7:18" ht="15">
      <c r="G31" s="35" t="s">
        <v>109</v>
      </c>
      <c r="H31" s="36">
        <v>1.4</v>
      </c>
      <c r="I31" s="36">
        <v>1.27</v>
      </c>
      <c r="J31" s="36">
        <v>1.15</v>
      </c>
      <c r="K31" s="36">
        <v>1.05</v>
      </c>
      <c r="L31" s="37">
        <v>1.03</v>
      </c>
      <c r="M31" s="46"/>
      <c r="N31" s="50" t="s">
        <v>78</v>
      </c>
      <c r="O31" s="45">
        <v>3</v>
      </c>
      <c r="P31" s="44">
        <v>2</v>
      </c>
      <c r="Q31" t="str">
        <f t="shared" si="0"/>
        <v>Low32</v>
      </c>
      <c r="R31" s="46">
        <v>0.7</v>
      </c>
    </row>
    <row r="32" spans="7:18" ht="15">
      <c r="G32" s="35" t="s">
        <v>110</v>
      </c>
      <c r="H32" s="36">
        <v>1.33</v>
      </c>
      <c r="I32" s="36">
        <v>1.2</v>
      </c>
      <c r="J32" s="36">
        <v>1.09</v>
      </c>
      <c r="K32" s="36">
        <v>1</v>
      </c>
      <c r="L32" s="37">
        <v>0.98</v>
      </c>
      <c r="M32" s="46"/>
      <c r="N32" s="50" t="s">
        <v>78</v>
      </c>
      <c r="O32" s="45">
        <v>3.25</v>
      </c>
      <c r="P32" s="45">
        <v>0</v>
      </c>
      <c r="Q32" t="str">
        <f t="shared" si="0"/>
        <v>Low3.250</v>
      </c>
      <c r="R32" s="46">
        <v>1.09</v>
      </c>
    </row>
    <row r="33" spans="7:18" ht="15">
      <c r="G33" s="35" t="s">
        <v>111</v>
      </c>
      <c r="H33" s="36">
        <v>1.24</v>
      </c>
      <c r="I33" s="36">
        <v>1.12</v>
      </c>
      <c r="J33" s="36">
        <v>1.02</v>
      </c>
      <c r="K33" s="36">
        <v>0.93</v>
      </c>
      <c r="L33" s="37">
        <v>0.92</v>
      </c>
      <c r="M33" s="46"/>
      <c r="N33" s="50" t="s">
        <v>78</v>
      </c>
      <c r="O33" s="45">
        <v>3.25</v>
      </c>
      <c r="P33" s="44">
        <v>0.25</v>
      </c>
      <c r="Q33" t="str">
        <f t="shared" si="0"/>
        <v>Low3.250.25</v>
      </c>
      <c r="R33" s="46">
        <v>1.05</v>
      </c>
    </row>
    <row r="34" spans="7:18" ht="15">
      <c r="G34" s="35" t="s">
        <v>112</v>
      </c>
      <c r="H34" s="36">
        <v>1.07</v>
      </c>
      <c r="I34" s="36">
        <v>0.96</v>
      </c>
      <c r="J34" s="36">
        <v>0.87</v>
      </c>
      <c r="K34" s="36">
        <v>0.8</v>
      </c>
      <c r="L34" s="37">
        <v>0.79</v>
      </c>
      <c r="M34" s="46"/>
      <c r="N34" s="50" t="s">
        <v>78</v>
      </c>
      <c r="O34" s="45">
        <v>3.25</v>
      </c>
      <c r="P34" s="44">
        <v>0.5</v>
      </c>
      <c r="Q34" t="str">
        <f t="shared" si="0"/>
        <v>Low3.250.5</v>
      </c>
      <c r="R34" s="46">
        <v>1.01</v>
      </c>
    </row>
    <row r="35" spans="7:18" ht="15.75" thickBot="1">
      <c r="G35" s="38" t="s">
        <v>113</v>
      </c>
      <c r="H35" s="39">
        <v>0.89</v>
      </c>
      <c r="I35" s="39">
        <v>0.8</v>
      </c>
      <c r="J35" s="39">
        <v>0.73</v>
      </c>
      <c r="K35" s="39">
        <v>0.67</v>
      </c>
      <c r="L35" s="40">
        <v>0.66</v>
      </c>
      <c r="M35" s="46"/>
      <c r="N35" s="50" t="s">
        <v>78</v>
      </c>
      <c r="O35" s="45">
        <v>3.25</v>
      </c>
      <c r="P35" s="44">
        <v>0.75</v>
      </c>
      <c r="Q35" t="str">
        <f t="shared" si="0"/>
        <v>Low3.250.75</v>
      </c>
      <c r="R35" s="46">
        <v>0.95</v>
      </c>
    </row>
    <row r="36" spans="7:18" ht="15.75" thickTop="1">
      <c r="G36" s="274" t="s">
        <v>115</v>
      </c>
      <c r="H36" s="275"/>
      <c r="I36" s="275"/>
      <c r="J36" s="275"/>
      <c r="K36" s="275"/>
      <c r="L36" s="276"/>
      <c r="M36" s="49"/>
      <c r="N36" s="50" t="s">
        <v>78</v>
      </c>
      <c r="O36" s="45">
        <v>3.25</v>
      </c>
      <c r="P36" s="44">
        <v>1</v>
      </c>
      <c r="Q36" t="str">
        <f t="shared" si="0"/>
        <v>Low3.251</v>
      </c>
      <c r="R36" s="46">
        <v>0.89</v>
      </c>
    </row>
    <row r="37" spans="7:18" ht="15" customHeight="1">
      <c r="G37" s="269" t="s">
        <v>95</v>
      </c>
      <c r="H37" s="266" t="s">
        <v>101</v>
      </c>
      <c r="I37" s="267"/>
      <c r="J37" s="267"/>
      <c r="K37" s="267"/>
      <c r="L37" s="268"/>
      <c r="M37" s="48"/>
      <c r="N37" s="50" t="s">
        <v>78</v>
      </c>
      <c r="O37" s="45">
        <v>3.25</v>
      </c>
      <c r="P37" s="44">
        <v>1.5</v>
      </c>
      <c r="Q37" t="str">
        <f t="shared" si="0"/>
        <v>Low3.251.5</v>
      </c>
      <c r="R37" s="46">
        <v>0.77</v>
      </c>
    </row>
    <row r="38" spans="7:18" ht="15">
      <c r="G38" s="270"/>
      <c r="H38" s="33" t="s">
        <v>102</v>
      </c>
      <c r="I38" s="33" t="s">
        <v>103</v>
      </c>
      <c r="J38" s="33" t="s">
        <v>104</v>
      </c>
      <c r="K38" s="33" t="s">
        <v>105</v>
      </c>
      <c r="L38" s="34" t="s">
        <v>106</v>
      </c>
      <c r="M38" s="48"/>
      <c r="N38" s="50" t="s">
        <v>78</v>
      </c>
      <c r="O38" s="45">
        <v>3.25</v>
      </c>
      <c r="P38" s="44">
        <v>2</v>
      </c>
      <c r="Q38" t="str">
        <f t="shared" si="0"/>
        <v>Low3.252</v>
      </c>
      <c r="R38" s="46">
        <v>0.64</v>
      </c>
    </row>
    <row r="39" spans="7:18" ht="15">
      <c r="G39" s="35" t="s">
        <v>107</v>
      </c>
      <c r="H39" s="36">
        <v>1.89</v>
      </c>
      <c r="I39" s="36">
        <v>1.71</v>
      </c>
      <c r="J39" s="36">
        <v>1.55</v>
      </c>
      <c r="K39" s="36">
        <v>1.42</v>
      </c>
      <c r="L39" s="37">
        <v>1.4</v>
      </c>
      <c r="M39" s="46"/>
      <c r="N39" s="50" t="s">
        <v>78</v>
      </c>
      <c r="O39" s="45">
        <v>3.5</v>
      </c>
      <c r="P39" s="45">
        <v>0</v>
      </c>
      <c r="Q39" t="str">
        <f t="shared" si="0"/>
        <v>Low3.50</v>
      </c>
      <c r="R39" s="46">
        <v>1</v>
      </c>
    </row>
    <row r="40" spans="7:18" ht="15">
      <c r="G40" s="35" t="s">
        <v>108</v>
      </c>
      <c r="H40" s="36">
        <v>1.82</v>
      </c>
      <c r="I40" s="36">
        <v>1.64</v>
      </c>
      <c r="J40" s="36">
        <v>1.49</v>
      </c>
      <c r="K40" s="36">
        <v>1.37</v>
      </c>
      <c r="L40" s="37">
        <v>1.34</v>
      </c>
      <c r="M40" s="46"/>
      <c r="N40" s="50" t="s">
        <v>78</v>
      </c>
      <c r="O40" s="45">
        <v>3.5</v>
      </c>
      <c r="P40" s="44">
        <v>0.25</v>
      </c>
      <c r="Q40" t="str">
        <f t="shared" si="0"/>
        <v>Low3.50.25</v>
      </c>
      <c r="R40" s="46">
        <v>0.96</v>
      </c>
    </row>
    <row r="41" spans="7:18" ht="15">
      <c r="G41" s="35" t="s">
        <v>109</v>
      </c>
      <c r="H41" s="36">
        <v>1.75</v>
      </c>
      <c r="I41" s="36">
        <v>1.58</v>
      </c>
      <c r="J41" s="36">
        <v>1.43</v>
      </c>
      <c r="K41" s="36">
        <v>1.31</v>
      </c>
      <c r="L41" s="37">
        <v>1.29</v>
      </c>
      <c r="M41" s="46"/>
      <c r="N41" s="50" t="s">
        <v>78</v>
      </c>
      <c r="O41" s="45">
        <v>3.5</v>
      </c>
      <c r="P41" s="44">
        <v>0.5</v>
      </c>
      <c r="Q41" t="str">
        <f t="shared" si="0"/>
        <v>Low3.50.5</v>
      </c>
      <c r="R41" s="46">
        <v>0.92</v>
      </c>
    </row>
    <row r="42" spans="7:18" ht="15">
      <c r="G42" s="35" t="s">
        <v>110</v>
      </c>
      <c r="H42" s="36">
        <v>1.66</v>
      </c>
      <c r="I42" s="36">
        <v>1.5</v>
      </c>
      <c r="J42" s="36">
        <v>1.36</v>
      </c>
      <c r="K42" s="36">
        <v>1.25</v>
      </c>
      <c r="L42" s="37">
        <v>1.22</v>
      </c>
      <c r="M42" s="46"/>
      <c r="N42" s="50" t="s">
        <v>78</v>
      </c>
      <c r="O42" s="45">
        <v>3.5</v>
      </c>
      <c r="P42" s="44">
        <v>0.75</v>
      </c>
      <c r="Q42" t="str">
        <f t="shared" si="0"/>
        <v>Low3.50.75</v>
      </c>
      <c r="R42" s="46">
        <v>0.88</v>
      </c>
    </row>
    <row r="43" spans="7:18" ht="15">
      <c r="G43" s="35" t="s">
        <v>111</v>
      </c>
      <c r="H43" s="36">
        <v>1.55</v>
      </c>
      <c r="I43" s="36">
        <v>1.4</v>
      </c>
      <c r="J43" s="36">
        <v>1.27</v>
      </c>
      <c r="K43" s="36">
        <v>1.16</v>
      </c>
      <c r="L43" s="37">
        <v>1.14</v>
      </c>
      <c r="M43" s="46"/>
      <c r="N43" s="50" t="s">
        <v>78</v>
      </c>
      <c r="O43" s="45">
        <v>3.5</v>
      </c>
      <c r="P43" s="44">
        <v>1</v>
      </c>
      <c r="Q43" t="str">
        <f t="shared" si="0"/>
        <v>Low3.51</v>
      </c>
      <c r="R43" s="46">
        <v>0.82</v>
      </c>
    </row>
    <row r="44" spans="7:18" ht="15">
      <c r="G44" s="35" t="s">
        <v>112</v>
      </c>
      <c r="H44" s="36">
        <v>1.33</v>
      </c>
      <c r="I44" s="36">
        <v>1.2</v>
      </c>
      <c r="J44" s="36">
        <v>1.09</v>
      </c>
      <c r="K44" s="36">
        <v>1</v>
      </c>
      <c r="L44" s="37">
        <v>0.98</v>
      </c>
      <c r="M44" s="46"/>
      <c r="N44" s="50" t="s">
        <v>78</v>
      </c>
      <c r="O44" s="45">
        <v>3.5</v>
      </c>
      <c r="P44" s="44">
        <v>1.5</v>
      </c>
      <c r="Q44" t="str">
        <f t="shared" si="0"/>
        <v>Low3.51.5</v>
      </c>
      <c r="R44" s="46">
        <v>0.7</v>
      </c>
    </row>
    <row r="45" spans="7:18" ht="15.75" thickBot="1">
      <c r="G45" s="41" t="s">
        <v>113</v>
      </c>
      <c r="H45" s="42">
        <v>1.11</v>
      </c>
      <c r="I45" s="42">
        <v>1</v>
      </c>
      <c r="J45" s="42">
        <v>0.91</v>
      </c>
      <c r="K45" s="42">
        <v>0.84</v>
      </c>
      <c r="L45" s="43">
        <v>0.82</v>
      </c>
      <c r="M45" s="46"/>
      <c r="N45" s="50" t="s">
        <v>78</v>
      </c>
      <c r="O45" s="45">
        <v>3.5</v>
      </c>
      <c r="P45" s="44">
        <v>2</v>
      </c>
      <c r="Q45" t="str">
        <f t="shared" si="0"/>
        <v>Low3.52</v>
      </c>
      <c r="R45" s="46">
        <v>0.59</v>
      </c>
    </row>
    <row r="46" spans="7:18" ht="16.5" thickTop="1">
      <c r="G46" s="9"/>
      <c r="N46" s="50" t="s">
        <v>78</v>
      </c>
      <c r="O46" s="45">
        <v>3.6</v>
      </c>
      <c r="P46" s="45">
        <v>0</v>
      </c>
      <c r="Q46" t="str">
        <f t="shared" si="0"/>
        <v>Low3.60</v>
      </c>
      <c r="R46" s="46">
        <v>0.98</v>
      </c>
    </row>
    <row r="47" spans="14:18" ht="15">
      <c r="N47" s="50" t="s">
        <v>78</v>
      </c>
      <c r="O47" s="45">
        <v>3.6</v>
      </c>
      <c r="P47" s="44">
        <v>0.25</v>
      </c>
      <c r="Q47" t="str">
        <f t="shared" si="0"/>
        <v>Low3.60.25</v>
      </c>
      <c r="R47" s="46">
        <v>0.94</v>
      </c>
    </row>
    <row r="48" spans="14:18" ht="15">
      <c r="N48" s="50" t="s">
        <v>78</v>
      </c>
      <c r="O48" s="45">
        <v>3.6</v>
      </c>
      <c r="P48" s="44">
        <v>0.5</v>
      </c>
      <c r="Q48" t="str">
        <f t="shared" si="0"/>
        <v>Low3.60.5</v>
      </c>
      <c r="R48" s="46">
        <v>0.9</v>
      </c>
    </row>
    <row r="49" spans="14:18" ht="15">
      <c r="N49" s="50" t="s">
        <v>78</v>
      </c>
      <c r="O49" s="45">
        <v>3.6</v>
      </c>
      <c r="P49" s="44">
        <v>0.75</v>
      </c>
      <c r="Q49" t="str">
        <f t="shared" si="0"/>
        <v>Low3.60.75</v>
      </c>
      <c r="R49" s="46">
        <v>0.86</v>
      </c>
    </row>
    <row r="50" spans="14:18" ht="15">
      <c r="N50" s="50" t="s">
        <v>78</v>
      </c>
      <c r="O50" s="45">
        <v>3.6</v>
      </c>
      <c r="P50" s="44">
        <v>1</v>
      </c>
      <c r="Q50" t="str">
        <f t="shared" si="0"/>
        <v>Low3.61</v>
      </c>
      <c r="R50" s="46">
        <v>0.8</v>
      </c>
    </row>
    <row r="51" spans="14:18" ht="15">
      <c r="N51" s="50" t="s">
        <v>78</v>
      </c>
      <c r="O51" s="45">
        <v>3.6</v>
      </c>
      <c r="P51" s="44">
        <v>1.5</v>
      </c>
      <c r="Q51" t="str">
        <f t="shared" si="0"/>
        <v>Low3.61.5</v>
      </c>
      <c r="R51" s="46">
        <v>0.69</v>
      </c>
    </row>
    <row r="52" spans="14:18" ht="15">
      <c r="N52" s="50" t="s">
        <v>78</v>
      </c>
      <c r="O52" s="45">
        <v>3.6</v>
      </c>
      <c r="P52" s="44">
        <v>2</v>
      </c>
      <c r="Q52" t="str">
        <f t="shared" si="0"/>
        <v>Low3.62</v>
      </c>
      <c r="R52" s="46">
        <v>0.57</v>
      </c>
    </row>
    <row r="53" spans="14:18" ht="15">
      <c r="N53" s="50" t="s">
        <v>119</v>
      </c>
      <c r="O53" s="45">
        <v>2.75</v>
      </c>
      <c r="P53" s="45">
        <v>0</v>
      </c>
      <c r="Q53" t="str">
        <f t="shared" si="0"/>
        <v>Med2.750</v>
      </c>
      <c r="R53" s="46">
        <v>1.52</v>
      </c>
    </row>
    <row r="54" spans="14:18" ht="15">
      <c r="N54" s="50" t="s">
        <v>119</v>
      </c>
      <c r="O54" s="45">
        <v>2.75</v>
      </c>
      <c r="P54" s="44">
        <v>0.25</v>
      </c>
      <c r="Q54" t="str">
        <f t="shared" si="0"/>
        <v>Med2.750.25</v>
      </c>
      <c r="R54" s="46">
        <v>1.46</v>
      </c>
    </row>
    <row r="55" spans="14:18" ht="15">
      <c r="N55" s="50" t="s">
        <v>119</v>
      </c>
      <c r="O55" s="45">
        <v>2.75</v>
      </c>
      <c r="P55" s="44">
        <v>0.5</v>
      </c>
      <c r="Q55" t="str">
        <f t="shared" si="0"/>
        <v>Med2.750.5</v>
      </c>
      <c r="R55" s="46">
        <v>1.4</v>
      </c>
    </row>
    <row r="56" spans="14:18" ht="15">
      <c r="N56" s="50" t="s">
        <v>119</v>
      </c>
      <c r="O56" s="45">
        <v>2.75</v>
      </c>
      <c r="P56" s="44">
        <v>0.75</v>
      </c>
      <c r="Q56" t="str">
        <f t="shared" si="0"/>
        <v>Med2.750.75</v>
      </c>
      <c r="R56" s="46">
        <v>1.33</v>
      </c>
    </row>
    <row r="57" spans="14:18" ht="15">
      <c r="N57" s="50" t="s">
        <v>119</v>
      </c>
      <c r="O57" s="45">
        <v>2.75</v>
      </c>
      <c r="P57" s="44">
        <v>1</v>
      </c>
      <c r="Q57" t="str">
        <f t="shared" si="0"/>
        <v>Med2.751</v>
      </c>
      <c r="R57" s="46">
        <v>1.24</v>
      </c>
    </row>
    <row r="58" spans="14:18" ht="15">
      <c r="N58" s="50" t="s">
        <v>119</v>
      </c>
      <c r="O58" s="45">
        <v>2.75</v>
      </c>
      <c r="P58" s="44">
        <v>1.5</v>
      </c>
      <c r="Q58" t="str">
        <f t="shared" si="0"/>
        <v>Med2.751.5</v>
      </c>
      <c r="R58" s="46">
        <v>1.07</v>
      </c>
    </row>
    <row r="59" spans="14:18" ht="15">
      <c r="N59" s="50" t="s">
        <v>119</v>
      </c>
      <c r="O59" s="45">
        <v>2.75</v>
      </c>
      <c r="P59" s="44">
        <v>2</v>
      </c>
      <c r="Q59" t="str">
        <f t="shared" si="0"/>
        <v>Med2.752</v>
      </c>
      <c r="R59" s="46">
        <v>0.89</v>
      </c>
    </row>
    <row r="60" spans="14:18" ht="15">
      <c r="N60" s="50" t="s">
        <v>119</v>
      </c>
      <c r="O60" s="45">
        <v>3</v>
      </c>
      <c r="P60" s="45">
        <v>0</v>
      </c>
      <c r="Q60" t="str">
        <f t="shared" si="0"/>
        <v>Med30</v>
      </c>
      <c r="R60" s="46">
        <v>1.37</v>
      </c>
    </row>
    <row r="61" spans="14:18" ht="15">
      <c r="N61" s="50" t="s">
        <v>119</v>
      </c>
      <c r="O61" s="45">
        <v>3</v>
      </c>
      <c r="P61" s="44">
        <v>0.25</v>
      </c>
      <c r="Q61" t="str">
        <f t="shared" si="0"/>
        <v>Med30.25</v>
      </c>
      <c r="R61" s="46">
        <v>1.32</v>
      </c>
    </row>
    <row r="62" spans="14:18" ht="15">
      <c r="N62" s="50" t="s">
        <v>119</v>
      </c>
      <c r="O62" s="45">
        <v>3</v>
      </c>
      <c r="P62" s="44">
        <v>0.5</v>
      </c>
      <c r="Q62" t="str">
        <f t="shared" si="0"/>
        <v>Med30.5</v>
      </c>
      <c r="R62" s="46">
        <v>1.27</v>
      </c>
    </row>
    <row r="63" spans="14:18" ht="15">
      <c r="N63" s="50" t="s">
        <v>119</v>
      </c>
      <c r="O63" s="45">
        <v>3</v>
      </c>
      <c r="P63" s="44">
        <v>0.75</v>
      </c>
      <c r="Q63" t="str">
        <f t="shared" si="0"/>
        <v>Med30.75</v>
      </c>
      <c r="R63" s="46">
        <v>1.2</v>
      </c>
    </row>
    <row r="64" spans="14:18" ht="15">
      <c r="N64" s="50" t="s">
        <v>119</v>
      </c>
      <c r="O64" s="45">
        <v>3</v>
      </c>
      <c r="P64" s="44">
        <v>1</v>
      </c>
      <c r="Q64" t="str">
        <f t="shared" si="0"/>
        <v>Med31</v>
      </c>
      <c r="R64" s="46">
        <v>1.12</v>
      </c>
    </row>
    <row r="65" spans="14:18" ht="15">
      <c r="N65" s="50" t="s">
        <v>119</v>
      </c>
      <c r="O65" s="45">
        <v>3</v>
      </c>
      <c r="P65" s="44">
        <v>1.5</v>
      </c>
      <c r="Q65" t="str">
        <f t="shared" si="0"/>
        <v>Med31.5</v>
      </c>
      <c r="R65" s="46">
        <v>0.96</v>
      </c>
    </row>
    <row r="66" spans="14:18" ht="15">
      <c r="N66" s="50" t="s">
        <v>119</v>
      </c>
      <c r="O66" s="45">
        <v>3</v>
      </c>
      <c r="P66" s="44">
        <v>2</v>
      </c>
      <c r="Q66" t="str">
        <f t="shared" si="0"/>
        <v>Med32</v>
      </c>
      <c r="R66" s="46">
        <v>0.8</v>
      </c>
    </row>
    <row r="67" spans="14:18" ht="15">
      <c r="N67" s="50" t="s">
        <v>119</v>
      </c>
      <c r="O67" s="45">
        <v>3.25</v>
      </c>
      <c r="P67" s="45">
        <v>0</v>
      </c>
      <c r="Q67" t="str">
        <f t="shared" si="0"/>
        <v>Med3.250</v>
      </c>
      <c r="R67" s="46">
        <v>1.25</v>
      </c>
    </row>
    <row r="68" spans="14:18" ht="15">
      <c r="N68" s="50" t="s">
        <v>119</v>
      </c>
      <c r="O68" s="45">
        <v>3.25</v>
      </c>
      <c r="P68" s="44">
        <v>0.25</v>
      </c>
      <c r="Q68" t="str">
        <f t="shared" si="0"/>
        <v>Med3.250.25</v>
      </c>
      <c r="R68" s="46">
        <v>1.2</v>
      </c>
    </row>
    <row r="69" spans="14:18" ht="15">
      <c r="N69" s="50" t="s">
        <v>119</v>
      </c>
      <c r="O69" s="45">
        <v>3.25</v>
      </c>
      <c r="P69" s="44">
        <v>0.5</v>
      </c>
      <c r="Q69" t="str">
        <f t="shared" si="0"/>
        <v>Med3.250.5</v>
      </c>
      <c r="R69" s="46">
        <v>1.15</v>
      </c>
    </row>
    <row r="70" spans="14:18" ht="15">
      <c r="N70" s="50" t="s">
        <v>119</v>
      </c>
      <c r="O70" s="45">
        <v>3.25</v>
      </c>
      <c r="P70" s="44">
        <v>0.75</v>
      </c>
      <c r="Q70" t="str">
        <f t="shared" si="0"/>
        <v>Med3.250.75</v>
      </c>
      <c r="R70" s="46">
        <v>1.09</v>
      </c>
    </row>
    <row r="71" spans="14:18" ht="15">
      <c r="N71" s="50" t="s">
        <v>119</v>
      </c>
      <c r="O71" s="45">
        <v>3.25</v>
      </c>
      <c r="P71" s="44">
        <v>1</v>
      </c>
      <c r="Q71" t="str">
        <f t="shared" si="0"/>
        <v>Med3.251</v>
      </c>
      <c r="R71" s="46">
        <v>1.02</v>
      </c>
    </row>
    <row r="72" spans="14:18" ht="15">
      <c r="N72" s="50" t="s">
        <v>119</v>
      </c>
      <c r="O72" s="45">
        <v>3.25</v>
      </c>
      <c r="P72" s="44">
        <v>1.5</v>
      </c>
      <c r="Q72" t="str">
        <f t="shared" si="0"/>
        <v>Med3.251.5</v>
      </c>
      <c r="R72" s="46">
        <v>0.87</v>
      </c>
    </row>
    <row r="73" spans="14:18" ht="15">
      <c r="N73" s="50" t="s">
        <v>119</v>
      </c>
      <c r="O73" s="45">
        <v>3.25</v>
      </c>
      <c r="P73" s="44">
        <v>2</v>
      </c>
      <c r="Q73" t="str">
        <f t="shared" si="0"/>
        <v>Med3.252</v>
      </c>
      <c r="R73" s="46">
        <v>0.73</v>
      </c>
    </row>
    <row r="74" spans="14:18" ht="15">
      <c r="N74" s="50" t="s">
        <v>119</v>
      </c>
      <c r="O74" s="45">
        <v>3.5</v>
      </c>
      <c r="P74" s="45">
        <v>0</v>
      </c>
      <c r="Q74" t="str">
        <f t="shared" si="0"/>
        <v>Med3.50</v>
      </c>
      <c r="R74" s="46">
        <v>1.14</v>
      </c>
    </row>
    <row r="75" spans="14:18" ht="15">
      <c r="N75" s="50" t="s">
        <v>119</v>
      </c>
      <c r="O75" s="45">
        <v>3.5</v>
      </c>
      <c r="P75" s="44">
        <v>0.25</v>
      </c>
      <c r="Q75" t="str">
        <f t="shared" si="0"/>
        <v>Med3.50.25</v>
      </c>
      <c r="R75" s="46">
        <v>1.1</v>
      </c>
    </row>
    <row r="76" spans="14:18" ht="15">
      <c r="N76" s="50" t="s">
        <v>119</v>
      </c>
      <c r="O76" s="45">
        <v>3.5</v>
      </c>
      <c r="P76" s="44">
        <v>0.5</v>
      </c>
      <c r="Q76" t="str">
        <f t="shared" si="0"/>
        <v>Med3.50.5</v>
      </c>
      <c r="R76" s="46">
        <v>1.05</v>
      </c>
    </row>
    <row r="77" spans="14:18" ht="15">
      <c r="N77" s="50" t="s">
        <v>119</v>
      </c>
      <c r="O77" s="45">
        <v>3.5</v>
      </c>
      <c r="P77" s="44">
        <v>0.75</v>
      </c>
      <c r="Q77" t="str">
        <f t="shared" si="0"/>
        <v>Med3.50.75</v>
      </c>
      <c r="R77" s="46">
        <v>1</v>
      </c>
    </row>
    <row r="78" spans="14:18" ht="15">
      <c r="N78" s="50" t="s">
        <v>119</v>
      </c>
      <c r="O78" s="45">
        <v>3.5</v>
      </c>
      <c r="P78" s="44">
        <v>1</v>
      </c>
      <c r="Q78" t="str">
        <f t="shared" si="0"/>
        <v>Med3.51</v>
      </c>
      <c r="R78" s="46">
        <v>0.93</v>
      </c>
    </row>
    <row r="79" spans="14:18" ht="15">
      <c r="N79" s="50" t="s">
        <v>119</v>
      </c>
      <c r="O79" s="45">
        <v>3.5</v>
      </c>
      <c r="P79" s="44">
        <v>1.5</v>
      </c>
      <c r="Q79" t="str">
        <f t="shared" si="0"/>
        <v>Med3.51.5</v>
      </c>
      <c r="R79" s="46">
        <v>0.8</v>
      </c>
    </row>
    <row r="80" spans="14:18" ht="15">
      <c r="N80" s="50" t="s">
        <v>119</v>
      </c>
      <c r="O80" s="45">
        <v>3.5</v>
      </c>
      <c r="P80" s="44">
        <v>2</v>
      </c>
      <c r="Q80" t="str">
        <f t="shared" si="0"/>
        <v>Med3.52</v>
      </c>
      <c r="R80" s="46">
        <v>0.67</v>
      </c>
    </row>
    <row r="81" spans="14:18" ht="15">
      <c r="N81" s="50" t="s">
        <v>119</v>
      </c>
      <c r="O81" s="45">
        <v>3.6</v>
      </c>
      <c r="P81" s="45">
        <v>0</v>
      </c>
      <c r="Q81" t="str">
        <f t="shared" si="0"/>
        <v>Med3.60</v>
      </c>
      <c r="R81" s="46">
        <v>1.12</v>
      </c>
    </row>
    <row r="82" spans="14:18" ht="15">
      <c r="N82" s="50" t="s">
        <v>119</v>
      </c>
      <c r="O82" s="45">
        <v>3.6</v>
      </c>
      <c r="P82" s="44">
        <v>0.25</v>
      </c>
      <c r="Q82" t="str">
        <f t="shared" si="0"/>
        <v>Med3.60.25</v>
      </c>
      <c r="R82" s="46">
        <v>1.08</v>
      </c>
    </row>
    <row r="83" spans="14:18" ht="15">
      <c r="N83" s="50" t="s">
        <v>119</v>
      </c>
      <c r="O83" s="45">
        <v>3.6</v>
      </c>
      <c r="P83" s="44">
        <v>0.5</v>
      </c>
      <c r="Q83" t="str">
        <f aca="true" t="shared" si="1" ref="Q83:Q122">CONCATENATE(N83,O83,P83)</f>
        <v>Med3.60.5</v>
      </c>
      <c r="R83" s="46">
        <v>1.03</v>
      </c>
    </row>
    <row r="84" spans="14:18" ht="15">
      <c r="N84" s="50" t="s">
        <v>119</v>
      </c>
      <c r="O84" s="45">
        <v>3.6</v>
      </c>
      <c r="P84" s="44">
        <v>0.75</v>
      </c>
      <c r="Q84" t="str">
        <f t="shared" si="1"/>
        <v>Med3.60.75</v>
      </c>
      <c r="R84" s="46">
        <v>0.98</v>
      </c>
    </row>
    <row r="85" spans="14:18" ht="15">
      <c r="N85" s="50" t="s">
        <v>119</v>
      </c>
      <c r="O85" s="45">
        <v>3.6</v>
      </c>
      <c r="P85" s="44">
        <v>1</v>
      </c>
      <c r="Q85" t="str">
        <f t="shared" si="1"/>
        <v>Med3.61</v>
      </c>
      <c r="R85" s="46">
        <v>0.92</v>
      </c>
    </row>
    <row r="86" spans="14:18" ht="15">
      <c r="N86" s="50" t="s">
        <v>119</v>
      </c>
      <c r="O86" s="45">
        <v>3.6</v>
      </c>
      <c r="P86" s="44">
        <v>1.5</v>
      </c>
      <c r="Q86" t="str">
        <f t="shared" si="1"/>
        <v>Med3.61.5</v>
      </c>
      <c r="R86" s="46">
        <v>0.79</v>
      </c>
    </row>
    <row r="87" spans="14:18" ht="15">
      <c r="N87" s="50" t="s">
        <v>119</v>
      </c>
      <c r="O87" s="45">
        <v>3.6</v>
      </c>
      <c r="P87" s="44">
        <v>2</v>
      </c>
      <c r="Q87" t="str">
        <f t="shared" si="1"/>
        <v>Med3.62</v>
      </c>
      <c r="R87" s="46">
        <v>0.66</v>
      </c>
    </row>
    <row r="88" spans="14:18" ht="15">
      <c r="N88" s="50" t="s">
        <v>80</v>
      </c>
      <c r="O88" s="45">
        <v>2.75</v>
      </c>
      <c r="P88" s="45">
        <v>0</v>
      </c>
      <c r="Q88" t="str">
        <f t="shared" si="1"/>
        <v>High2.750</v>
      </c>
      <c r="R88" s="46">
        <v>1.89</v>
      </c>
    </row>
    <row r="89" spans="14:18" ht="15">
      <c r="N89" s="50" t="s">
        <v>80</v>
      </c>
      <c r="O89" s="45">
        <v>2.75</v>
      </c>
      <c r="P89" s="44">
        <v>0.25</v>
      </c>
      <c r="Q89" t="str">
        <f t="shared" si="1"/>
        <v>High2.750.25</v>
      </c>
      <c r="R89" s="46">
        <v>1.82</v>
      </c>
    </row>
    <row r="90" spans="14:18" ht="15">
      <c r="N90" s="50" t="s">
        <v>80</v>
      </c>
      <c r="O90" s="45">
        <v>2.75</v>
      </c>
      <c r="P90" s="44">
        <v>0.5</v>
      </c>
      <c r="Q90" t="str">
        <f t="shared" si="1"/>
        <v>High2.750.5</v>
      </c>
      <c r="R90" s="46">
        <v>1.75</v>
      </c>
    </row>
    <row r="91" spans="14:18" ht="15">
      <c r="N91" s="50" t="s">
        <v>80</v>
      </c>
      <c r="O91" s="45">
        <v>2.75</v>
      </c>
      <c r="P91" s="44">
        <v>0.75</v>
      </c>
      <c r="Q91" t="str">
        <f t="shared" si="1"/>
        <v>High2.750.75</v>
      </c>
      <c r="R91" s="46">
        <v>1.66</v>
      </c>
    </row>
    <row r="92" spans="14:18" ht="15">
      <c r="N92" s="50" t="s">
        <v>80</v>
      </c>
      <c r="O92" s="45">
        <v>2.75</v>
      </c>
      <c r="P92" s="44">
        <v>1</v>
      </c>
      <c r="Q92" t="str">
        <f t="shared" si="1"/>
        <v>High2.751</v>
      </c>
      <c r="R92" s="46">
        <v>1.55</v>
      </c>
    </row>
    <row r="93" spans="14:18" ht="15">
      <c r="N93" s="50" t="s">
        <v>80</v>
      </c>
      <c r="O93" s="45">
        <v>2.75</v>
      </c>
      <c r="P93" s="44">
        <v>1.5</v>
      </c>
      <c r="Q93" t="str">
        <f t="shared" si="1"/>
        <v>High2.751.5</v>
      </c>
      <c r="R93" s="46">
        <v>1.33</v>
      </c>
    </row>
    <row r="94" spans="14:18" ht="15">
      <c r="N94" s="50" t="s">
        <v>80</v>
      </c>
      <c r="O94" s="45">
        <v>2.75</v>
      </c>
      <c r="P94" s="44">
        <v>2</v>
      </c>
      <c r="Q94" t="str">
        <f t="shared" si="1"/>
        <v>High2.752</v>
      </c>
      <c r="R94" s="46">
        <v>1.11</v>
      </c>
    </row>
    <row r="95" spans="14:18" ht="15">
      <c r="N95" s="50" t="s">
        <v>80</v>
      </c>
      <c r="O95" s="45">
        <v>3</v>
      </c>
      <c r="P95" s="45">
        <v>0</v>
      </c>
      <c r="Q95" t="str">
        <f t="shared" si="1"/>
        <v>High30</v>
      </c>
      <c r="R95" s="46">
        <v>1.71</v>
      </c>
    </row>
    <row r="96" spans="14:18" ht="15">
      <c r="N96" s="50" t="s">
        <v>80</v>
      </c>
      <c r="O96" s="45">
        <v>3</v>
      </c>
      <c r="P96" s="44">
        <v>0.25</v>
      </c>
      <c r="Q96" t="str">
        <f t="shared" si="1"/>
        <v>High30.25</v>
      </c>
      <c r="R96" s="46">
        <v>1.64</v>
      </c>
    </row>
    <row r="97" spans="14:18" ht="15">
      <c r="N97" s="50" t="s">
        <v>80</v>
      </c>
      <c r="O97" s="45">
        <v>3</v>
      </c>
      <c r="P97" s="44">
        <v>0.5</v>
      </c>
      <c r="Q97" t="str">
        <f t="shared" si="1"/>
        <v>High30.5</v>
      </c>
      <c r="R97" s="46">
        <v>1.58</v>
      </c>
    </row>
    <row r="98" spans="14:18" ht="15">
      <c r="N98" s="50" t="s">
        <v>80</v>
      </c>
      <c r="O98" s="45">
        <v>3</v>
      </c>
      <c r="P98" s="44">
        <v>0.75</v>
      </c>
      <c r="Q98" t="str">
        <f t="shared" si="1"/>
        <v>High30.75</v>
      </c>
      <c r="R98" s="46">
        <v>1.5</v>
      </c>
    </row>
    <row r="99" spans="14:18" ht="15">
      <c r="N99" s="50" t="s">
        <v>80</v>
      </c>
      <c r="O99" s="45">
        <v>3</v>
      </c>
      <c r="P99" s="44">
        <v>1</v>
      </c>
      <c r="Q99" t="str">
        <f t="shared" si="1"/>
        <v>High31</v>
      </c>
      <c r="R99" s="46">
        <v>1.4</v>
      </c>
    </row>
    <row r="100" spans="14:18" ht="15">
      <c r="N100" s="50" t="s">
        <v>80</v>
      </c>
      <c r="O100" s="45">
        <v>3</v>
      </c>
      <c r="P100" s="44">
        <v>1.5</v>
      </c>
      <c r="Q100" t="str">
        <f t="shared" si="1"/>
        <v>High31.5</v>
      </c>
      <c r="R100" s="46">
        <v>1.2</v>
      </c>
    </row>
    <row r="101" spans="14:18" ht="15">
      <c r="N101" s="50" t="s">
        <v>80</v>
      </c>
      <c r="O101" s="45">
        <v>3</v>
      </c>
      <c r="P101" s="44">
        <v>2</v>
      </c>
      <c r="Q101" t="str">
        <f t="shared" si="1"/>
        <v>High32</v>
      </c>
      <c r="R101" s="46">
        <v>1</v>
      </c>
    </row>
    <row r="102" spans="14:18" ht="15">
      <c r="N102" s="50" t="s">
        <v>80</v>
      </c>
      <c r="O102" s="45">
        <v>3.25</v>
      </c>
      <c r="P102" s="45">
        <v>0</v>
      </c>
      <c r="Q102" t="str">
        <f t="shared" si="1"/>
        <v>High3.250</v>
      </c>
      <c r="R102" s="46">
        <v>1.55</v>
      </c>
    </row>
    <row r="103" spans="14:18" ht="15">
      <c r="N103" s="50" t="s">
        <v>80</v>
      </c>
      <c r="O103" s="45">
        <v>3.25</v>
      </c>
      <c r="P103" s="44">
        <v>0.25</v>
      </c>
      <c r="Q103" t="str">
        <f t="shared" si="1"/>
        <v>High3.250.25</v>
      </c>
      <c r="R103" s="46">
        <v>1.49</v>
      </c>
    </row>
    <row r="104" spans="14:18" ht="15">
      <c r="N104" s="50" t="s">
        <v>80</v>
      </c>
      <c r="O104" s="45">
        <v>3.25</v>
      </c>
      <c r="P104" s="44">
        <v>0.5</v>
      </c>
      <c r="Q104" t="str">
        <f t="shared" si="1"/>
        <v>High3.250.5</v>
      </c>
      <c r="R104" s="46">
        <v>1.43</v>
      </c>
    </row>
    <row r="105" spans="14:18" ht="15">
      <c r="N105" s="50" t="s">
        <v>80</v>
      </c>
      <c r="O105" s="45">
        <v>3.25</v>
      </c>
      <c r="P105" s="44">
        <v>0.75</v>
      </c>
      <c r="Q105" t="str">
        <f t="shared" si="1"/>
        <v>High3.250.75</v>
      </c>
      <c r="R105" s="46">
        <v>1.36</v>
      </c>
    </row>
    <row r="106" spans="14:18" ht="15">
      <c r="N106" s="50" t="s">
        <v>80</v>
      </c>
      <c r="O106" s="45">
        <v>3.25</v>
      </c>
      <c r="P106" s="44">
        <v>1</v>
      </c>
      <c r="Q106" t="str">
        <f t="shared" si="1"/>
        <v>High3.251</v>
      </c>
      <c r="R106" s="46">
        <v>1.27</v>
      </c>
    </row>
    <row r="107" spans="14:18" ht="15">
      <c r="N107" s="50" t="s">
        <v>80</v>
      </c>
      <c r="O107" s="45">
        <v>3.25</v>
      </c>
      <c r="P107" s="44">
        <v>1.5</v>
      </c>
      <c r="Q107" t="str">
        <f t="shared" si="1"/>
        <v>High3.251.5</v>
      </c>
      <c r="R107" s="46">
        <v>1.09</v>
      </c>
    </row>
    <row r="108" spans="14:18" ht="15">
      <c r="N108" s="50" t="s">
        <v>80</v>
      </c>
      <c r="O108" s="45">
        <v>3.25</v>
      </c>
      <c r="P108" s="44">
        <v>2</v>
      </c>
      <c r="Q108" t="str">
        <f t="shared" si="1"/>
        <v>High3.252</v>
      </c>
      <c r="R108" s="46">
        <v>0.91</v>
      </c>
    </row>
    <row r="109" spans="14:18" ht="15">
      <c r="N109" s="50" t="s">
        <v>80</v>
      </c>
      <c r="O109" s="45">
        <v>3.5</v>
      </c>
      <c r="P109" s="45">
        <v>0</v>
      </c>
      <c r="Q109" t="str">
        <f t="shared" si="1"/>
        <v>High3.50</v>
      </c>
      <c r="R109" s="46">
        <v>1.42</v>
      </c>
    </row>
    <row r="110" spans="14:18" ht="15">
      <c r="N110" s="50" t="s">
        <v>80</v>
      </c>
      <c r="O110" s="45">
        <v>3.5</v>
      </c>
      <c r="P110" s="44">
        <v>0.25</v>
      </c>
      <c r="Q110" t="str">
        <f t="shared" si="1"/>
        <v>High3.50.25</v>
      </c>
      <c r="R110" s="46">
        <v>1.37</v>
      </c>
    </row>
    <row r="111" spans="14:18" ht="15">
      <c r="N111" s="50" t="s">
        <v>80</v>
      </c>
      <c r="O111" s="45">
        <v>3.5</v>
      </c>
      <c r="P111" s="44">
        <v>0.5</v>
      </c>
      <c r="Q111" t="str">
        <f t="shared" si="1"/>
        <v>High3.50.5</v>
      </c>
      <c r="R111" s="46">
        <v>1.31</v>
      </c>
    </row>
    <row r="112" spans="14:18" ht="15">
      <c r="N112" s="50" t="s">
        <v>80</v>
      </c>
      <c r="O112" s="45">
        <v>3.5</v>
      </c>
      <c r="P112" s="44">
        <v>0.75</v>
      </c>
      <c r="Q112" t="str">
        <f t="shared" si="1"/>
        <v>High3.50.75</v>
      </c>
      <c r="R112" s="46">
        <v>1.25</v>
      </c>
    </row>
    <row r="113" spans="14:18" ht="15">
      <c r="N113" s="50" t="s">
        <v>80</v>
      </c>
      <c r="O113" s="45">
        <v>3.5</v>
      </c>
      <c r="P113" s="44">
        <v>1</v>
      </c>
      <c r="Q113" t="str">
        <f t="shared" si="1"/>
        <v>High3.51</v>
      </c>
      <c r="R113" s="46">
        <v>1.16</v>
      </c>
    </row>
    <row r="114" spans="14:18" ht="15">
      <c r="N114" s="50" t="s">
        <v>80</v>
      </c>
      <c r="O114" s="45">
        <v>3.5</v>
      </c>
      <c r="P114" s="44">
        <v>1.5</v>
      </c>
      <c r="Q114" t="str">
        <f t="shared" si="1"/>
        <v>High3.51.5</v>
      </c>
      <c r="R114" s="46">
        <v>1</v>
      </c>
    </row>
    <row r="115" spans="14:18" ht="15">
      <c r="N115" s="50" t="s">
        <v>80</v>
      </c>
      <c r="O115" s="45">
        <v>3.5</v>
      </c>
      <c r="P115" s="44">
        <v>2</v>
      </c>
      <c r="Q115" t="str">
        <f t="shared" si="1"/>
        <v>High3.52</v>
      </c>
      <c r="R115" s="46">
        <v>0.84</v>
      </c>
    </row>
    <row r="116" spans="14:18" ht="15">
      <c r="N116" s="50" t="s">
        <v>80</v>
      </c>
      <c r="O116" s="45">
        <v>3.6</v>
      </c>
      <c r="P116" s="45">
        <v>0</v>
      </c>
      <c r="Q116" t="str">
        <f t="shared" si="1"/>
        <v>High3.60</v>
      </c>
      <c r="R116" s="46">
        <v>1.4</v>
      </c>
    </row>
    <row r="117" spans="14:18" ht="15">
      <c r="N117" s="50" t="s">
        <v>80</v>
      </c>
      <c r="O117" s="45">
        <v>3.6</v>
      </c>
      <c r="P117" s="44">
        <v>0.25</v>
      </c>
      <c r="Q117" t="str">
        <f t="shared" si="1"/>
        <v>High3.60.25</v>
      </c>
      <c r="R117" s="46">
        <v>1.34</v>
      </c>
    </row>
    <row r="118" spans="14:18" ht="15">
      <c r="N118" s="50" t="s">
        <v>80</v>
      </c>
      <c r="O118" s="45">
        <v>3.6</v>
      </c>
      <c r="P118" s="44">
        <v>0.5</v>
      </c>
      <c r="Q118" t="str">
        <f t="shared" si="1"/>
        <v>High3.60.5</v>
      </c>
      <c r="R118" s="46">
        <v>1.29</v>
      </c>
    </row>
    <row r="119" spans="14:18" ht="15">
      <c r="N119" s="50" t="s">
        <v>80</v>
      </c>
      <c r="O119" s="45">
        <v>3.6</v>
      </c>
      <c r="P119" s="44">
        <v>0.75</v>
      </c>
      <c r="Q119" t="str">
        <f t="shared" si="1"/>
        <v>High3.60.75</v>
      </c>
      <c r="R119" s="46">
        <v>1.22</v>
      </c>
    </row>
    <row r="120" spans="14:18" ht="15">
      <c r="N120" s="50" t="s">
        <v>80</v>
      </c>
      <c r="O120" s="45">
        <v>3.6</v>
      </c>
      <c r="P120" s="44">
        <v>1</v>
      </c>
      <c r="Q120" t="str">
        <f t="shared" si="1"/>
        <v>High3.61</v>
      </c>
      <c r="R120" s="46">
        <v>1.14</v>
      </c>
    </row>
    <row r="121" spans="14:18" ht="15">
      <c r="N121" s="50" t="s">
        <v>80</v>
      </c>
      <c r="O121" s="45">
        <v>3.6</v>
      </c>
      <c r="P121" s="44">
        <v>1.5</v>
      </c>
      <c r="Q121" t="str">
        <f t="shared" si="1"/>
        <v>High3.61.5</v>
      </c>
      <c r="R121" s="46">
        <v>0.98</v>
      </c>
    </row>
    <row r="122" spans="14:18" ht="15">
      <c r="N122" s="50" t="s">
        <v>80</v>
      </c>
      <c r="O122" s="45">
        <v>3.6</v>
      </c>
      <c r="P122" s="44">
        <v>2</v>
      </c>
      <c r="Q122" t="str">
        <f t="shared" si="1"/>
        <v>High3.62</v>
      </c>
      <c r="R122" s="46">
        <v>0.82</v>
      </c>
    </row>
  </sheetData>
  <sheetProtection/>
  <mergeCells count="11">
    <mergeCell ref="G36:L36"/>
    <mergeCell ref="A11:A13"/>
    <mergeCell ref="C11:E11"/>
    <mergeCell ref="G16:L16"/>
    <mergeCell ref="G17:G18"/>
    <mergeCell ref="H17:L17"/>
    <mergeCell ref="G37:G38"/>
    <mergeCell ref="H37:L37"/>
    <mergeCell ref="G26:L26"/>
    <mergeCell ref="G27:G28"/>
    <mergeCell ref="H27:L27"/>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4"/>
  <dimension ref="A2:Y106"/>
  <sheetViews>
    <sheetView zoomScalePageLayoutView="0" workbookViewId="0" topLeftCell="I1">
      <selection activeCell="N7" sqref="N7"/>
    </sheetView>
  </sheetViews>
  <sheetFormatPr defaultColWidth="9.140625" defaultRowHeight="12.75"/>
  <cols>
    <col min="1" max="1" width="14.7109375" style="0" customWidth="1"/>
    <col min="2" max="2" width="10.57421875" style="0" customWidth="1"/>
    <col min="4" max="5" width="12.28125" style="0" customWidth="1"/>
    <col min="6" max="6" width="14.140625" style="0" customWidth="1"/>
  </cols>
  <sheetData>
    <row r="2" spans="1:9" ht="12.75">
      <c r="A2" s="1" t="s">
        <v>254</v>
      </c>
      <c r="B2" s="1"/>
      <c r="D2" s="1"/>
      <c r="E2" s="1"/>
      <c r="I2" t="s">
        <v>72</v>
      </c>
    </row>
    <row r="3" spans="1:21" ht="12.75">
      <c r="A3" s="1" t="s">
        <v>63</v>
      </c>
      <c r="B3" s="1" t="s">
        <v>65</v>
      </c>
      <c r="C3" s="1" t="s">
        <v>64</v>
      </c>
      <c r="D3" s="1" t="s">
        <v>180</v>
      </c>
      <c r="E3" s="1" t="s">
        <v>70</v>
      </c>
      <c r="F3" s="1" t="s">
        <v>68</v>
      </c>
      <c r="I3" s="1" t="s">
        <v>297</v>
      </c>
      <c r="O3" s="1" t="s">
        <v>298</v>
      </c>
      <c r="P3" s="1"/>
      <c r="Q3" s="1"/>
      <c r="U3" s="1" t="s">
        <v>299</v>
      </c>
    </row>
    <row r="4" spans="1:25" ht="12.75">
      <c r="A4" t="s">
        <v>60</v>
      </c>
      <c r="B4" t="s">
        <v>61</v>
      </c>
      <c r="C4">
        <v>100</v>
      </c>
      <c r="D4">
        <v>1</v>
      </c>
      <c r="E4" t="str">
        <f aca="true" t="shared" si="0" ref="E4:E61">CONCATENATE(LEFT(A4,2),LEFT(B4,2),C4,D4)</f>
        <v>PaWa1001</v>
      </c>
      <c r="F4">
        <v>420</v>
      </c>
      <c r="I4" s="236" t="s">
        <v>134</v>
      </c>
      <c r="J4" s="101"/>
      <c r="K4" s="101"/>
      <c r="L4" s="236" t="s">
        <v>135</v>
      </c>
      <c r="M4" s="101"/>
      <c r="O4" s="238" t="s">
        <v>134</v>
      </c>
      <c r="P4" s="103"/>
      <c r="Q4" s="103"/>
      <c r="R4" s="238" t="s">
        <v>135</v>
      </c>
      <c r="S4" s="103"/>
      <c r="U4" s="240" t="s">
        <v>134</v>
      </c>
      <c r="V4" s="102"/>
      <c r="W4" s="102"/>
      <c r="X4" s="240" t="s">
        <v>135</v>
      </c>
      <c r="Y4" s="102"/>
    </row>
    <row r="5" spans="1:25" ht="12.75">
      <c r="A5" s="30" t="s">
        <v>60</v>
      </c>
      <c r="B5" t="s">
        <v>61</v>
      </c>
      <c r="C5">
        <v>100</v>
      </c>
      <c r="D5">
        <v>2</v>
      </c>
      <c r="E5" t="str">
        <f t="shared" si="0"/>
        <v>PaWa1002</v>
      </c>
      <c r="F5">
        <v>610</v>
      </c>
      <c r="I5" s="101" t="s">
        <v>125</v>
      </c>
      <c r="J5" s="101">
        <v>1</v>
      </c>
      <c r="K5" s="101"/>
      <c r="L5" s="101" t="s">
        <v>125</v>
      </c>
      <c r="M5" s="101">
        <v>2</v>
      </c>
      <c r="O5" s="103" t="s">
        <v>125</v>
      </c>
      <c r="P5" s="103">
        <v>1</v>
      </c>
      <c r="Q5" s="103"/>
      <c r="R5" s="103" t="s">
        <v>125</v>
      </c>
      <c r="S5" s="103">
        <v>1</v>
      </c>
      <c r="U5" s="102" t="s">
        <v>125</v>
      </c>
      <c r="V5" s="102">
        <v>2</v>
      </c>
      <c r="W5" s="102"/>
      <c r="X5" s="102" t="s">
        <v>125</v>
      </c>
      <c r="Y5" s="102">
        <v>1</v>
      </c>
    </row>
    <row r="6" spans="1:25" ht="12.75">
      <c r="A6" t="s">
        <v>60</v>
      </c>
      <c r="B6" t="s">
        <v>61</v>
      </c>
      <c r="C6">
        <v>150</v>
      </c>
      <c r="D6">
        <v>1</v>
      </c>
      <c r="E6" t="str">
        <f t="shared" si="0"/>
        <v>PaWa1501</v>
      </c>
      <c r="F6">
        <v>620</v>
      </c>
      <c r="I6" s="101" t="s">
        <v>126</v>
      </c>
      <c r="J6" s="101"/>
      <c r="K6" s="101"/>
      <c r="L6" s="101" t="s">
        <v>126</v>
      </c>
      <c r="M6" s="101"/>
      <c r="O6" s="103" t="s">
        <v>126</v>
      </c>
      <c r="P6" s="103"/>
      <c r="Q6" s="103"/>
      <c r="R6" s="103" t="s">
        <v>126</v>
      </c>
      <c r="S6" s="103"/>
      <c r="U6" s="102" t="s">
        <v>126</v>
      </c>
      <c r="V6" s="102"/>
      <c r="W6" s="102"/>
      <c r="X6" s="102" t="s">
        <v>126</v>
      </c>
      <c r="Y6" s="102"/>
    </row>
    <row r="7" spans="1:25" ht="12.75">
      <c r="A7" s="30" t="s">
        <v>60</v>
      </c>
      <c r="B7" t="s">
        <v>61</v>
      </c>
      <c r="C7">
        <v>150</v>
      </c>
      <c r="D7">
        <v>2</v>
      </c>
      <c r="E7" t="str">
        <f t="shared" si="0"/>
        <v>PaWa1502</v>
      </c>
      <c r="F7">
        <v>890</v>
      </c>
      <c r="I7" s="101"/>
      <c r="J7" s="101"/>
      <c r="K7" s="101"/>
      <c r="L7" s="101"/>
      <c r="M7" s="101"/>
      <c r="O7" s="103"/>
      <c r="P7" s="103"/>
      <c r="Q7" s="103"/>
      <c r="R7" s="103"/>
      <c r="S7" s="103"/>
      <c r="U7" s="102"/>
      <c r="V7" s="102"/>
      <c r="W7" s="102"/>
      <c r="X7" s="102"/>
      <c r="Y7" s="102"/>
    </row>
    <row r="8" spans="1:25" ht="12.75">
      <c r="A8" t="s">
        <v>60</v>
      </c>
      <c r="B8" t="s">
        <v>61</v>
      </c>
      <c r="C8">
        <v>200</v>
      </c>
      <c r="D8">
        <v>1</v>
      </c>
      <c r="E8" t="str">
        <f t="shared" si="0"/>
        <v>PaWa2001</v>
      </c>
      <c r="F8">
        <v>1000</v>
      </c>
      <c r="I8" s="236" t="s">
        <v>63</v>
      </c>
      <c r="J8" s="101"/>
      <c r="K8" s="101"/>
      <c r="L8" s="101"/>
      <c r="M8" s="101"/>
      <c r="O8" s="238" t="s">
        <v>63</v>
      </c>
      <c r="P8" s="103"/>
      <c r="Q8" s="103"/>
      <c r="R8" s="103"/>
      <c r="S8" s="103"/>
      <c r="U8" s="240" t="s">
        <v>63</v>
      </c>
      <c r="V8" s="102"/>
      <c r="W8" s="102"/>
      <c r="X8" s="102"/>
      <c r="Y8" s="102"/>
    </row>
    <row r="9" spans="1:25" ht="12.75">
      <c r="A9" s="30" t="s">
        <v>60</v>
      </c>
      <c r="B9" t="s">
        <v>61</v>
      </c>
      <c r="C9">
        <v>200</v>
      </c>
      <c r="D9">
        <v>2</v>
      </c>
      <c r="E9" t="str">
        <f t="shared" si="0"/>
        <v>PaWa2002</v>
      </c>
      <c r="F9">
        <v>1700</v>
      </c>
      <c r="I9" s="101" t="s">
        <v>60</v>
      </c>
      <c r="J9" s="101"/>
      <c r="K9" s="101"/>
      <c r="L9" s="101"/>
      <c r="M9" s="101"/>
      <c r="O9" s="103" t="s">
        <v>60</v>
      </c>
      <c r="P9" s="103"/>
      <c r="Q9" s="103"/>
      <c r="R9" s="103"/>
      <c r="S9" s="103"/>
      <c r="U9" s="102" t="s">
        <v>60</v>
      </c>
      <c r="V9" s="102"/>
      <c r="W9" s="102"/>
      <c r="X9" s="102"/>
      <c r="Y9" s="102"/>
    </row>
    <row r="10" spans="1:25" ht="12.75">
      <c r="A10" t="s">
        <v>60</v>
      </c>
      <c r="B10" t="s">
        <v>62</v>
      </c>
      <c r="C10">
        <v>100</v>
      </c>
      <c r="D10">
        <v>1</v>
      </c>
      <c r="E10" t="str">
        <f t="shared" si="0"/>
        <v>PaAl1001</v>
      </c>
      <c r="F10">
        <v>390</v>
      </c>
      <c r="I10" s="101" t="s">
        <v>73</v>
      </c>
      <c r="J10" s="101"/>
      <c r="K10" s="101"/>
      <c r="L10" s="101"/>
      <c r="M10" s="101"/>
      <c r="O10" s="103" t="s">
        <v>73</v>
      </c>
      <c r="P10" s="103"/>
      <c r="Q10" s="103"/>
      <c r="R10" s="103"/>
      <c r="S10" s="103"/>
      <c r="U10" s="102" t="s">
        <v>73</v>
      </c>
      <c r="V10" s="102"/>
      <c r="W10" s="102"/>
      <c r="X10" s="102"/>
      <c r="Y10" s="102"/>
    </row>
    <row r="11" spans="1:25" ht="12.75">
      <c r="A11" s="30" t="s">
        <v>60</v>
      </c>
      <c r="B11" t="s">
        <v>62</v>
      </c>
      <c r="C11">
        <v>100</v>
      </c>
      <c r="D11">
        <v>2</v>
      </c>
      <c r="E11" t="str">
        <f t="shared" si="0"/>
        <v>PaAl1002</v>
      </c>
      <c r="F11">
        <v>580</v>
      </c>
      <c r="I11" s="101" t="s">
        <v>196</v>
      </c>
      <c r="J11" s="101"/>
      <c r="K11" s="101"/>
      <c r="L11" s="101"/>
      <c r="M11" s="101"/>
      <c r="O11" s="103" t="s">
        <v>196</v>
      </c>
      <c r="P11" s="103"/>
      <c r="Q11" s="103"/>
      <c r="R11" s="103"/>
      <c r="S11" s="103"/>
      <c r="U11" s="102" t="s">
        <v>196</v>
      </c>
      <c r="V11" s="102"/>
      <c r="W11" s="102"/>
      <c r="X11" s="102"/>
      <c r="Y11" s="102"/>
    </row>
    <row r="12" spans="1:25" ht="12.75">
      <c r="A12" t="s">
        <v>60</v>
      </c>
      <c r="B12" t="s">
        <v>62</v>
      </c>
      <c r="C12">
        <v>150</v>
      </c>
      <c r="D12">
        <v>1</v>
      </c>
      <c r="E12" t="str">
        <f t="shared" si="0"/>
        <v>PaAl1501</v>
      </c>
      <c r="F12">
        <v>580</v>
      </c>
      <c r="I12" s="101" t="s">
        <v>197</v>
      </c>
      <c r="J12" s="101"/>
      <c r="K12" s="101"/>
      <c r="L12" s="101"/>
      <c r="M12" s="101"/>
      <c r="O12" s="103" t="s">
        <v>197</v>
      </c>
      <c r="P12" s="103"/>
      <c r="Q12" s="103"/>
      <c r="R12" s="103"/>
      <c r="S12" s="103"/>
      <c r="U12" s="102" t="s">
        <v>197</v>
      </c>
      <c r="V12" s="102"/>
      <c r="W12" s="102"/>
      <c r="X12" s="102"/>
      <c r="Y12" s="102"/>
    </row>
    <row r="13" spans="1:25" ht="12.75">
      <c r="A13" s="30" t="s">
        <v>60</v>
      </c>
      <c r="B13" t="s">
        <v>62</v>
      </c>
      <c r="C13">
        <v>150</v>
      </c>
      <c r="D13">
        <v>2</v>
      </c>
      <c r="E13" t="str">
        <f t="shared" si="0"/>
        <v>PaAl1502</v>
      </c>
      <c r="F13">
        <v>850</v>
      </c>
      <c r="I13" s="101" t="str">
        <f>'New Product'!E4</f>
        <v>-</v>
      </c>
      <c r="J13" s="101"/>
      <c r="K13" s="101"/>
      <c r="L13" s="101"/>
      <c r="M13" s="101"/>
      <c r="O13" s="103" t="str">
        <f>'New Product'!E4</f>
        <v>-</v>
      </c>
      <c r="P13" s="103"/>
      <c r="Q13" s="103"/>
      <c r="R13" s="103"/>
      <c r="S13" s="103"/>
      <c r="U13" s="102">
        <f>'New Product'!Q4</f>
        <v>0</v>
      </c>
      <c r="V13" s="102"/>
      <c r="W13" s="102"/>
      <c r="X13" s="102"/>
      <c r="Y13" s="102"/>
    </row>
    <row r="14" spans="1:25" ht="12.75">
      <c r="A14" t="s">
        <v>60</v>
      </c>
      <c r="B14" t="s">
        <v>62</v>
      </c>
      <c r="C14">
        <v>200</v>
      </c>
      <c r="D14">
        <v>1</v>
      </c>
      <c r="E14" t="str">
        <f t="shared" si="0"/>
        <v>PaAl2001</v>
      </c>
      <c r="F14">
        <v>1000</v>
      </c>
      <c r="I14" s="101"/>
      <c r="J14" s="101"/>
      <c r="K14" s="101"/>
      <c r="L14" s="101"/>
      <c r="M14" s="101"/>
      <c r="O14" s="103"/>
      <c r="P14" s="103"/>
      <c r="Q14" s="103"/>
      <c r="R14" s="103"/>
      <c r="S14" s="103"/>
      <c r="U14" s="102"/>
      <c r="V14" s="102"/>
      <c r="W14" s="102"/>
      <c r="X14" s="102"/>
      <c r="Y14" s="102"/>
    </row>
    <row r="15" spans="1:25" ht="12.75">
      <c r="A15" s="30" t="s">
        <v>60</v>
      </c>
      <c r="B15" t="s">
        <v>62</v>
      </c>
      <c r="C15">
        <v>200</v>
      </c>
      <c r="D15">
        <v>2</v>
      </c>
      <c r="E15" t="str">
        <f t="shared" si="0"/>
        <v>PaAl2002</v>
      </c>
      <c r="F15">
        <v>1600</v>
      </c>
      <c r="I15" s="236" t="s">
        <v>65</v>
      </c>
      <c r="J15" s="101"/>
      <c r="K15" s="101"/>
      <c r="L15" s="101"/>
      <c r="M15" s="101"/>
      <c r="O15" s="238" t="s">
        <v>65</v>
      </c>
      <c r="P15" s="103"/>
      <c r="Q15" s="103"/>
      <c r="R15" s="103"/>
      <c r="S15" s="103"/>
      <c r="U15" s="240" t="s">
        <v>65</v>
      </c>
      <c r="V15" s="102"/>
      <c r="W15" s="102"/>
      <c r="X15" s="102"/>
      <c r="Y15" s="102"/>
    </row>
    <row r="16" spans="1:25" ht="12.75">
      <c r="A16" s="30" t="s">
        <v>73</v>
      </c>
      <c r="B16" t="s">
        <v>199</v>
      </c>
      <c r="C16">
        <v>100</v>
      </c>
      <c r="D16">
        <v>1</v>
      </c>
      <c r="E16" t="str">
        <f t="shared" si="0"/>
        <v>CAFl1001</v>
      </c>
      <c r="F16">
        <v>1400</v>
      </c>
      <c r="I16" s="101" t="s">
        <v>61</v>
      </c>
      <c r="J16" s="101"/>
      <c r="K16" s="101"/>
      <c r="L16" s="101"/>
      <c r="M16" s="101"/>
      <c r="O16" s="103" t="s">
        <v>61</v>
      </c>
      <c r="P16" s="103"/>
      <c r="Q16" s="103"/>
      <c r="R16" s="103"/>
      <c r="S16" s="103"/>
      <c r="U16" s="102" t="s">
        <v>61</v>
      </c>
      <c r="V16" s="102"/>
      <c r="W16" s="102"/>
      <c r="X16" s="102"/>
      <c r="Y16" s="102"/>
    </row>
    <row r="17" spans="1:25" ht="12.75">
      <c r="A17" s="30" t="s">
        <v>73</v>
      </c>
      <c r="B17" t="s">
        <v>199</v>
      </c>
      <c r="C17">
        <v>100</v>
      </c>
      <c r="D17">
        <v>2</v>
      </c>
      <c r="E17" t="str">
        <f t="shared" si="0"/>
        <v>CAFl1002</v>
      </c>
      <c r="F17">
        <v>1500</v>
      </c>
      <c r="I17" s="101" t="s">
        <v>62</v>
      </c>
      <c r="J17" s="101"/>
      <c r="K17" s="101"/>
      <c r="L17" s="101"/>
      <c r="M17" s="101"/>
      <c r="O17" s="103" t="s">
        <v>62</v>
      </c>
      <c r="P17" s="103"/>
      <c r="Q17" s="103"/>
      <c r="R17" s="103"/>
      <c r="S17" s="103"/>
      <c r="U17" s="102" t="s">
        <v>62</v>
      </c>
      <c r="V17" s="102"/>
      <c r="W17" s="102"/>
      <c r="X17" s="102"/>
      <c r="Y17" s="102"/>
    </row>
    <row r="18" spans="1:25" ht="12.75">
      <c r="A18" s="30" t="s">
        <v>73</v>
      </c>
      <c r="B18" t="s">
        <v>199</v>
      </c>
      <c r="C18">
        <v>150</v>
      </c>
      <c r="D18">
        <v>1</v>
      </c>
      <c r="E18" t="str">
        <f t="shared" si="0"/>
        <v>CAFl1501</v>
      </c>
      <c r="F18">
        <v>2100</v>
      </c>
      <c r="I18" s="101" t="s">
        <v>199</v>
      </c>
      <c r="J18" s="101"/>
      <c r="K18" s="101"/>
      <c r="L18" s="101"/>
      <c r="M18" s="101"/>
      <c r="O18" s="103" t="s">
        <v>199</v>
      </c>
      <c r="P18" s="103"/>
      <c r="Q18" s="103"/>
      <c r="R18" s="103"/>
      <c r="S18" s="103"/>
      <c r="U18" s="102" t="s">
        <v>199</v>
      </c>
      <c r="V18" s="102"/>
      <c r="W18" s="102"/>
      <c r="X18" s="102"/>
      <c r="Y18" s="102"/>
    </row>
    <row r="19" spans="1:25" ht="12.75">
      <c r="A19" s="30" t="s">
        <v>73</v>
      </c>
      <c r="B19" t="s">
        <v>199</v>
      </c>
      <c r="C19">
        <v>150</v>
      </c>
      <c r="D19">
        <v>2</v>
      </c>
      <c r="E19" t="str">
        <f t="shared" si="0"/>
        <v>CAFl1502</v>
      </c>
      <c r="F19">
        <v>2300</v>
      </c>
      <c r="I19" s="101" t="s">
        <v>198</v>
      </c>
      <c r="J19" s="101"/>
      <c r="K19" s="101"/>
      <c r="L19" s="101"/>
      <c r="M19" s="101"/>
      <c r="O19" s="103" t="s">
        <v>198</v>
      </c>
      <c r="P19" s="103"/>
      <c r="Q19" s="103"/>
      <c r="R19" s="103"/>
      <c r="S19" s="103"/>
      <c r="U19" s="102" t="s">
        <v>198</v>
      </c>
      <c r="V19" s="102"/>
      <c r="W19" s="102"/>
      <c r="X19" s="102"/>
      <c r="Y19" s="102"/>
    </row>
    <row r="20" spans="1:25" ht="12.75">
      <c r="A20" s="30" t="s">
        <v>73</v>
      </c>
      <c r="B20" t="s">
        <v>199</v>
      </c>
      <c r="C20">
        <v>200</v>
      </c>
      <c r="D20">
        <v>1</v>
      </c>
      <c r="E20" t="str">
        <f t="shared" si="0"/>
        <v>CAFl2001</v>
      </c>
      <c r="F20">
        <v>2900</v>
      </c>
      <c r="I20" s="101" t="s">
        <v>200</v>
      </c>
      <c r="J20" s="101"/>
      <c r="K20" s="101"/>
      <c r="L20" s="101"/>
      <c r="M20" s="101"/>
      <c r="O20" s="103" t="s">
        <v>200</v>
      </c>
      <c r="P20" s="103"/>
      <c r="Q20" s="103"/>
      <c r="R20" s="103"/>
      <c r="S20" s="103"/>
      <c r="U20" s="102" t="s">
        <v>200</v>
      </c>
      <c r="V20" s="102"/>
      <c r="W20" s="102"/>
      <c r="X20" s="102"/>
      <c r="Y20" s="102"/>
    </row>
    <row r="21" spans="1:25" ht="12.75">
      <c r="A21" s="30" t="s">
        <v>73</v>
      </c>
      <c r="B21" t="s">
        <v>199</v>
      </c>
      <c r="C21">
        <v>200</v>
      </c>
      <c r="D21">
        <v>2</v>
      </c>
      <c r="E21" t="str">
        <f t="shared" si="0"/>
        <v>CAFl2002</v>
      </c>
      <c r="F21">
        <v>3100</v>
      </c>
      <c r="I21" s="101" t="s">
        <v>66</v>
      </c>
      <c r="J21" s="101"/>
      <c r="K21" s="101"/>
      <c r="L21" s="101"/>
      <c r="M21" s="101"/>
      <c r="O21" s="103" t="s">
        <v>66</v>
      </c>
      <c r="P21" s="103"/>
      <c r="Q21" s="103"/>
      <c r="R21" s="103"/>
      <c r="S21" s="103"/>
      <c r="U21" s="102" t="s">
        <v>66</v>
      </c>
      <c r="V21" s="102"/>
      <c r="W21" s="102"/>
      <c r="X21" s="102"/>
      <c r="Y21" s="102"/>
    </row>
    <row r="22" spans="1:25" ht="12.75">
      <c r="A22" s="30" t="s">
        <v>73</v>
      </c>
      <c r="B22" t="s">
        <v>66</v>
      </c>
      <c r="C22">
        <v>100</v>
      </c>
      <c r="D22">
        <v>1</v>
      </c>
      <c r="E22" t="str">
        <f t="shared" si="0"/>
        <v>CASt1001</v>
      </c>
      <c r="F22">
        <v>2800</v>
      </c>
      <c r="I22" s="101" t="s">
        <v>67</v>
      </c>
      <c r="J22" s="101"/>
      <c r="K22" s="101"/>
      <c r="L22" s="101"/>
      <c r="M22" s="101"/>
      <c r="O22" s="103" t="s">
        <v>67</v>
      </c>
      <c r="P22" s="103"/>
      <c r="Q22" s="103"/>
      <c r="R22" s="103"/>
      <c r="S22" s="103"/>
      <c r="U22" s="102" t="s">
        <v>67</v>
      </c>
      <c r="V22" s="102"/>
      <c r="W22" s="102"/>
      <c r="X22" s="102"/>
      <c r="Y22" s="102"/>
    </row>
    <row r="23" spans="1:25" ht="12.75">
      <c r="A23" s="30" t="s">
        <v>73</v>
      </c>
      <c r="B23" t="s">
        <v>66</v>
      </c>
      <c r="C23">
        <v>100</v>
      </c>
      <c r="D23">
        <v>2</v>
      </c>
      <c r="E23" t="str">
        <f t="shared" si="0"/>
        <v>CASt1002</v>
      </c>
      <c r="F23">
        <v>3000</v>
      </c>
      <c r="G23" s="2"/>
      <c r="H23" s="2"/>
      <c r="I23" s="101" t="str">
        <f>'New Product'!E5</f>
        <v>-</v>
      </c>
      <c r="J23" s="101"/>
      <c r="K23" s="101"/>
      <c r="L23" s="101"/>
      <c r="M23" s="101"/>
      <c r="O23" s="103" t="str">
        <f>'New Product'!E5</f>
        <v>-</v>
      </c>
      <c r="P23" s="103"/>
      <c r="Q23" s="103"/>
      <c r="R23" s="103"/>
      <c r="S23" s="103"/>
      <c r="U23" s="102">
        <f>'New Product'!Q5</f>
        <v>0</v>
      </c>
      <c r="V23" s="102"/>
      <c r="W23" s="102"/>
      <c r="X23" s="102"/>
      <c r="Y23" s="102"/>
    </row>
    <row r="24" spans="1:25" ht="12.75">
      <c r="A24" s="30" t="s">
        <v>73</v>
      </c>
      <c r="B24" t="s">
        <v>66</v>
      </c>
      <c r="C24">
        <v>150</v>
      </c>
      <c r="D24">
        <v>1</v>
      </c>
      <c r="E24" t="str">
        <f t="shared" si="0"/>
        <v>CASt1501</v>
      </c>
      <c r="F24">
        <v>4000</v>
      </c>
      <c r="G24" s="2"/>
      <c r="H24" s="2"/>
      <c r="I24" s="101"/>
      <c r="J24" s="101"/>
      <c r="K24" s="101"/>
      <c r="L24" s="101"/>
      <c r="M24" s="101"/>
      <c r="O24" s="103"/>
      <c r="P24" s="103"/>
      <c r="Q24" s="103"/>
      <c r="R24" s="103"/>
      <c r="S24" s="103"/>
      <c r="U24" s="102"/>
      <c r="V24" s="102"/>
      <c r="W24" s="102"/>
      <c r="X24" s="102"/>
      <c r="Y24" s="102"/>
    </row>
    <row r="25" spans="1:25" ht="12.75">
      <c r="A25" s="30" t="s">
        <v>73</v>
      </c>
      <c r="B25" t="s">
        <v>66</v>
      </c>
      <c r="C25">
        <v>150</v>
      </c>
      <c r="D25">
        <v>2</v>
      </c>
      <c r="E25" t="str">
        <f t="shared" si="0"/>
        <v>CASt1502</v>
      </c>
      <c r="F25">
        <v>4200</v>
      </c>
      <c r="G25" s="2"/>
      <c r="H25" s="2"/>
      <c r="I25" s="236" t="s">
        <v>64</v>
      </c>
      <c r="J25" s="101"/>
      <c r="K25" s="101"/>
      <c r="L25" s="101"/>
      <c r="M25" s="101"/>
      <c r="O25" s="238" t="s">
        <v>64</v>
      </c>
      <c r="P25" s="103"/>
      <c r="Q25" s="103"/>
      <c r="R25" s="103"/>
      <c r="S25" s="103"/>
      <c r="U25" s="240" t="s">
        <v>64</v>
      </c>
      <c r="V25" s="102"/>
      <c r="W25" s="102"/>
      <c r="X25" s="102"/>
      <c r="Y25" s="102"/>
    </row>
    <row r="26" spans="1:25" ht="12.75">
      <c r="A26" s="30" t="s">
        <v>73</v>
      </c>
      <c r="B26" t="s">
        <v>66</v>
      </c>
      <c r="C26">
        <v>200</v>
      </c>
      <c r="D26">
        <v>1</v>
      </c>
      <c r="E26" t="str">
        <f t="shared" si="0"/>
        <v>CASt2001</v>
      </c>
      <c r="F26">
        <v>5000</v>
      </c>
      <c r="G26" s="2"/>
      <c r="H26" s="2"/>
      <c r="I26" s="237">
        <v>100</v>
      </c>
      <c r="J26" s="101"/>
      <c r="K26" s="101"/>
      <c r="L26" s="101"/>
      <c r="M26" s="101"/>
      <c r="O26" s="239">
        <v>100</v>
      </c>
      <c r="P26" s="103"/>
      <c r="Q26" s="103"/>
      <c r="R26" s="103"/>
      <c r="S26" s="103"/>
      <c r="U26" s="241">
        <v>100</v>
      </c>
      <c r="V26" s="102"/>
      <c r="W26" s="102"/>
      <c r="X26" s="102"/>
      <c r="Y26" s="102"/>
    </row>
    <row r="27" spans="1:25" ht="12.75">
      <c r="A27" s="30" t="s">
        <v>73</v>
      </c>
      <c r="B27" t="s">
        <v>66</v>
      </c>
      <c r="C27">
        <v>200</v>
      </c>
      <c r="D27">
        <v>2</v>
      </c>
      <c r="E27" t="str">
        <f t="shared" si="0"/>
        <v>CASt2002</v>
      </c>
      <c r="F27">
        <v>5200</v>
      </c>
      <c r="G27" s="2"/>
      <c r="H27" s="2"/>
      <c r="I27" s="237">
        <v>150</v>
      </c>
      <c r="J27" s="101"/>
      <c r="K27" s="101"/>
      <c r="L27" s="101"/>
      <c r="M27" s="101"/>
      <c r="O27" s="239">
        <v>150</v>
      </c>
      <c r="P27" s="103"/>
      <c r="Q27" s="103"/>
      <c r="R27" s="103"/>
      <c r="S27" s="103"/>
      <c r="U27" s="241">
        <v>150</v>
      </c>
      <c r="V27" s="102"/>
      <c r="W27" s="102"/>
      <c r="X27" s="102"/>
      <c r="Y27" s="102"/>
    </row>
    <row r="28" spans="1:25" ht="12.75">
      <c r="A28" s="30" t="s">
        <v>73</v>
      </c>
      <c r="B28" t="s">
        <v>67</v>
      </c>
      <c r="C28">
        <v>100</v>
      </c>
      <c r="D28">
        <v>1</v>
      </c>
      <c r="E28" t="str">
        <f t="shared" si="0"/>
        <v>CAPr1001</v>
      </c>
      <c r="F28">
        <v>5500</v>
      </c>
      <c r="G28" s="2"/>
      <c r="H28" s="2"/>
      <c r="I28" s="237">
        <v>200</v>
      </c>
      <c r="J28" s="101"/>
      <c r="K28" s="101"/>
      <c r="L28" s="101"/>
      <c r="M28" s="101"/>
      <c r="O28" s="239">
        <v>200</v>
      </c>
      <c r="P28" s="103"/>
      <c r="Q28" s="103"/>
      <c r="R28" s="103"/>
      <c r="S28" s="103"/>
      <c r="U28" s="241">
        <v>200</v>
      </c>
      <c r="V28" s="102"/>
      <c r="W28" s="102"/>
      <c r="X28" s="102"/>
      <c r="Y28" s="102"/>
    </row>
    <row r="29" spans="1:25" ht="12.75">
      <c r="A29" s="30" t="s">
        <v>73</v>
      </c>
      <c r="B29" t="s">
        <v>67</v>
      </c>
      <c r="C29">
        <v>100</v>
      </c>
      <c r="D29">
        <v>2</v>
      </c>
      <c r="E29" t="str">
        <f t="shared" si="0"/>
        <v>CAPr1002</v>
      </c>
      <c r="F29">
        <v>6500</v>
      </c>
      <c r="G29" s="2"/>
      <c r="H29" s="2"/>
      <c r="I29" s="101"/>
      <c r="J29" s="101"/>
      <c r="K29" s="101"/>
      <c r="L29" s="101"/>
      <c r="M29" s="101"/>
      <c r="O29" s="103"/>
      <c r="P29" s="103"/>
      <c r="Q29" s="103"/>
      <c r="R29" s="103"/>
      <c r="S29" s="103"/>
      <c r="U29" s="102"/>
      <c r="V29" s="102"/>
      <c r="W29" s="102"/>
      <c r="X29" s="102"/>
      <c r="Y29" s="102"/>
    </row>
    <row r="30" spans="1:25" ht="12.75">
      <c r="A30" s="30" t="s">
        <v>73</v>
      </c>
      <c r="B30" t="s">
        <v>67</v>
      </c>
      <c r="C30">
        <v>150</v>
      </c>
      <c r="D30">
        <v>1</v>
      </c>
      <c r="E30" t="str">
        <f t="shared" si="0"/>
        <v>CAPr1501</v>
      </c>
      <c r="F30">
        <v>7500</v>
      </c>
      <c r="G30" s="2"/>
      <c r="H30" s="2"/>
      <c r="I30" s="236" t="s">
        <v>245</v>
      </c>
      <c r="J30" s="236" t="s">
        <v>250</v>
      </c>
      <c r="K30" s="101"/>
      <c r="L30" s="236" t="s">
        <v>251</v>
      </c>
      <c r="M30" s="101"/>
      <c r="O30" s="238" t="s">
        <v>245</v>
      </c>
      <c r="P30" s="238" t="s">
        <v>250</v>
      </c>
      <c r="Q30" s="103"/>
      <c r="R30" s="238" t="s">
        <v>251</v>
      </c>
      <c r="S30" s="103"/>
      <c r="U30" s="240" t="s">
        <v>245</v>
      </c>
      <c r="V30" s="240" t="s">
        <v>250</v>
      </c>
      <c r="W30" s="102"/>
      <c r="X30" s="240" t="s">
        <v>251</v>
      </c>
      <c r="Y30" s="102"/>
    </row>
    <row r="31" spans="1:25" ht="12.75">
      <c r="A31" s="30" t="s">
        <v>73</v>
      </c>
      <c r="B31" t="s">
        <v>67</v>
      </c>
      <c r="C31">
        <v>150</v>
      </c>
      <c r="D31">
        <v>2</v>
      </c>
      <c r="E31" t="str">
        <f t="shared" si="0"/>
        <v>CAPr1502</v>
      </c>
      <c r="F31">
        <v>8500</v>
      </c>
      <c r="G31" s="2"/>
      <c r="H31" s="2"/>
      <c r="I31" s="101" t="s">
        <v>125</v>
      </c>
      <c r="J31" s="101">
        <v>2</v>
      </c>
      <c r="K31" s="101"/>
      <c r="L31" s="101">
        <v>2</v>
      </c>
      <c r="M31" s="101"/>
      <c r="O31" s="103" t="s">
        <v>125</v>
      </c>
      <c r="P31" s="103">
        <v>2</v>
      </c>
      <c r="Q31" s="103"/>
      <c r="R31" s="103">
        <v>2</v>
      </c>
      <c r="S31" s="103"/>
      <c r="U31" s="102" t="s">
        <v>125</v>
      </c>
      <c r="V31" s="102">
        <v>2</v>
      </c>
      <c r="W31" s="102"/>
      <c r="X31" s="102">
        <v>2</v>
      </c>
      <c r="Y31" s="102"/>
    </row>
    <row r="32" spans="1:25" ht="12.75">
      <c r="A32" s="30" t="s">
        <v>73</v>
      </c>
      <c r="B32" t="s">
        <v>67</v>
      </c>
      <c r="C32">
        <v>200</v>
      </c>
      <c r="D32">
        <v>1</v>
      </c>
      <c r="E32" t="str">
        <f t="shared" si="0"/>
        <v>CAPr2001</v>
      </c>
      <c r="F32">
        <v>8500</v>
      </c>
      <c r="G32" s="2"/>
      <c r="H32" s="2"/>
      <c r="I32" s="101" t="s">
        <v>126</v>
      </c>
      <c r="J32" s="101"/>
      <c r="K32" s="101"/>
      <c r="L32" s="101"/>
      <c r="M32" s="101"/>
      <c r="O32" s="103" t="s">
        <v>126</v>
      </c>
      <c r="P32" s="103"/>
      <c r="Q32" s="103"/>
      <c r="R32" s="103"/>
      <c r="S32" s="103"/>
      <c r="U32" s="102" t="s">
        <v>126</v>
      </c>
      <c r="V32" s="102"/>
      <c r="W32" s="102"/>
      <c r="X32" s="102"/>
      <c r="Y32" s="102"/>
    </row>
    <row r="33" spans="1:25" ht="12.75">
      <c r="A33" s="30" t="s">
        <v>73</v>
      </c>
      <c r="B33" t="s">
        <v>67</v>
      </c>
      <c r="C33">
        <v>200</v>
      </c>
      <c r="D33">
        <v>2</v>
      </c>
      <c r="E33" t="str">
        <f t="shared" si="0"/>
        <v>CAPr2002</v>
      </c>
      <c r="F33">
        <v>9500</v>
      </c>
      <c r="G33" s="2"/>
      <c r="H33" s="2"/>
      <c r="I33" s="101"/>
      <c r="J33" s="101"/>
      <c r="K33" s="101"/>
      <c r="L33" s="101"/>
      <c r="M33" s="101"/>
      <c r="O33" s="103"/>
      <c r="P33" s="103"/>
      <c r="Q33" s="103"/>
      <c r="R33" s="103"/>
      <c r="S33" s="103"/>
      <c r="U33" s="102"/>
      <c r="V33" s="102"/>
      <c r="W33" s="102"/>
      <c r="X33" s="102"/>
      <c r="Y33" s="102"/>
    </row>
    <row r="34" spans="1:25" ht="12.75">
      <c r="A34" s="128" t="s">
        <v>196</v>
      </c>
      <c r="B34" s="2" t="s">
        <v>199</v>
      </c>
      <c r="C34" s="2">
        <v>100</v>
      </c>
      <c r="D34" s="2">
        <v>1</v>
      </c>
      <c r="E34" s="2" t="str">
        <f t="shared" si="0"/>
        <v>ThFl1001</v>
      </c>
      <c r="F34">
        <v>1200</v>
      </c>
      <c r="G34" s="2"/>
      <c r="H34" s="2"/>
      <c r="I34" s="236" t="s">
        <v>65</v>
      </c>
      <c r="J34" s="101"/>
      <c r="K34" s="101"/>
      <c r="L34" s="101"/>
      <c r="M34" s="101"/>
      <c r="O34" s="238" t="s">
        <v>65</v>
      </c>
      <c r="P34" s="103"/>
      <c r="Q34" s="103"/>
      <c r="R34" s="103"/>
      <c r="S34" s="103"/>
      <c r="U34" s="240" t="s">
        <v>65</v>
      </c>
      <c r="V34" s="102"/>
      <c r="W34" s="102"/>
      <c r="X34" s="102"/>
      <c r="Y34" s="102"/>
    </row>
    <row r="35" spans="1:25" ht="12.75">
      <c r="A35" s="128" t="s">
        <v>196</v>
      </c>
      <c r="B35" s="2" t="s">
        <v>199</v>
      </c>
      <c r="C35" s="2">
        <v>100</v>
      </c>
      <c r="D35" s="3">
        <v>2</v>
      </c>
      <c r="E35" s="3" t="str">
        <f t="shared" si="0"/>
        <v>ThFl1002</v>
      </c>
      <c r="F35">
        <v>1250</v>
      </c>
      <c r="G35" s="2"/>
      <c r="H35" s="2"/>
      <c r="I35" s="101" t="s">
        <v>262</v>
      </c>
      <c r="J35" s="101"/>
      <c r="K35" s="101"/>
      <c r="L35" s="101"/>
      <c r="M35" s="101"/>
      <c r="O35" s="103" t="s">
        <v>262</v>
      </c>
      <c r="P35" s="103"/>
      <c r="Q35" s="103"/>
      <c r="R35" s="103"/>
      <c r="S35" s="103"/>
      <c r="U35" s="102" t="s">
        <v>262</v>
      </c>
      <c r="V35" s="102"/>
      <c r="W35" s="102"/>
      <c r="X35" s="102"/>
      <c r="Y35" s="102"/>
    </row>
    <row r="36" spans="1:25" ht="12.75">
      <c r="A36" s="128" t="s">
        <v>196</v>
      </c>
      <c r="B36" s="2" t="s">
        <v>199</v>
      </c>
      <c r="C36" s="3">
        <v>150</v>
      </c>
      <c r="D36" s="3">
        <v>1</v>
      </c>
      <c r="E36" s="3" t="str">
        <f t="shared" si="0"/>
        <v>ThFl1501</v>
      </c>
      <c r="F36">
        <v>1250</v>
      </c>
      <c r="G36" s="2"/>
      <c r="H36" s="2"/>
      <c r="I36" s="101" t="s">
        <v>261</v>
      </c>
      <c r="J36" s="101"/>
      <c r="K36" s="101"/>
      <c r="L36" s="101"/>
      <c r="M36" s="101"/>
      <c r="O36" s="103" t="s">
        <v>261</v>
      </c>
      <c r="P36" s="103"/>
      <c r="Q36" s="103"/>
      <c r="R36" s="103"/>
      <c r="S36" s="103"/>
      <c r="U36" s="102" t="s">
        <v>261</v>
      </c>
      <c r="V36" s="102"/>
      <c r="W36" s="102"/>
      <c r="X36" s="102"/>
      <c r="Y36" s="102"/>
    </row>
    <row r="37" spans="1:25" ht="12.75">
      <c r="A37" s="128" t="s">
        <v>196</v>
      </c>
      <c r="B37" s="2" t="s">
        <v>199</v>
      </c>
      <c r="C37" s="3">
        <v>150</v>
      </c>
      <c r="D37" s="3">
        <v>2</v>
      </c>
      <c r="E37" s="3" t="str">
        <f t="shared" si="0"/>
        <v>ThFl1502</v>
      </c>
      <c r="F37">
        <v>1300</v>
      </c>
      <c r="G37" s="2"/>
      <c r="H37" s="2"/>
      <c r="I37" s="101"/>
      <c r="J37" s="101"/>
      <c r="K37" s="101"/>
      <c r="L37" s="101"/>
      <c r="M37" s="101"/>
      <c r="O37" s="103"/>
      <c r="P37" s="103"/>
      <c r="Q37" s="103"/>
      <c r="R37" s="103"/>
      <c r="S37" s="103"/>
      <c r="U37" s="102"/>
      <c r="V37" s="102"/>
      <c r="W37" s="102"/>
      <c r="X37" s="102"/>
      <c r="Y37" s="102"/>
    </row>
    <row r="38" spans="1:25" ht="12.75">
      <c r="A38" s="128" t="s">
        <v>196</v>
      </c>
      <c r="B38" s="2" t="s">
        <v>199</v>
      </c>
      <c r="C38" s="3">
        <v>200</v>
      </c>
      <c r="D38" s="3">
        <v>1</v>
      </c>
      <c r="E38" s="3" t="str">
        <f t="shared" si="0"/>
        <v>ThFl2001</v>
      </c>
      <c r="F38">
        <v>1650</v>
      </c>
      <c r="G38" s="2"/>
      <c r="H38" s="2"/>
      <c r="I38" s="101"/>
      <c r="J38" s="101"/>
      <c r="K38" s="101"/>
      <c r="L38" s="101"/>
      <c r="M38" s="101"/>
      <c r="O38" s="103"/>
      <c r="P38" s="103"/>
      <c r="Q38" s="103"/>
      <c r="R38" s="103"/>
      <c r="S38" s="103"/>
      <c r="U38" s="102"/>
      <c r="V38" s="102"/>
      <c r="W38" s="102"/>
      <c r="X38" s="102"/>
      <c r="Y38" s="102"/>
    </row>
    <row r="39" spans="1:25" ht="12.75">
      <c r="A39" s="128" t="s">
        <v>196</v>
      </c>
      <c r="B39" s="2" t="s">
        <v>199</v>
      </c>
      <c r="C39" s="3">
        <v>200</v>
      </c>
      <c r="D39" s="3">
        <v>2</v>
      </c>
      <c r="E39" s="3" t="str">
        <f t="shared" si="0"/>
        <v>ThFl2002</v>
      </c>
      <c r="F39">
        <v>1750</v>
      </c>
      <c r="G39" s="2"/>
      <c r="H39" s="2"/>
      <c r="I39" s="236" t="s">
        <v>249</v>
      </c>
      <c r="J39" s="101"/>
      <c r="K39" s="101"/>
      <c r="L39" s="101"/>
      <c r="M39" s="101"/>
      <c r="O39" s="238" t="s">
        <v>249</v>
      </c>
      <c r="P39" s="103"/>
      <c r="Q39" s="103"/>
      <c r="R39" s="103"/>
      <c r="S39" s="103"/>
      <c r="U39" s="240" t="s">
        <v>249</v>
      </c>
      <c r="V39" s="102"/>
      <c r="W39" s="102"/>
      <c r="X39" s="102"/>
      <c r="Y39" s="102"/>
    </row>
    <row r="40" spans="1:25" ht="12.75">
      <c r="A40" s="129" t="s">
        <v>196</v>
      </c>
      <c r="B40" s="3" t="s">
        <v>198</v>
      </c>
      <c r="C40" s="3">
        <v>100</v>
      </c>
      <c r="D40" s="3">
        <v>1</v>
      </c>
      <c r="E40" s="3" t="str">
        <f t="shared" si="0"/>
        <v>ThEm1001</v>
      </c>
      <c r="F40">
        <v>0</v>
      </c>
      <c r="G40" s="2"/>
      <c r="H40" s="2"/>
      <c r="I40" s="101">
        <v>1</v>
      </c>
      <c r="J40" s="101"/>
      <c r="K40" s="101"/>
      <c r="L40" s="101"/>
      <c r="M40" s="101"/>
      <c r="O40" s="103">
        <v>1</v>
      </c>
      <c r="P40" s="103"/>
      <c r="Q40" s="103"/>
      <c r="R40" s="103"/>
      <c r="S40" s="103"/>
      <c r="U40" s="102">
        <v>1</v>
      </c>
      <c r="V40" s="102"/>
      <c r="W40" s="102"/>
      <c r="X40" s="102"/>
      <c r="Y40" s="102"/>
    </row>
    <row r="41" spans="1:25" ht="12.75">
      <c r="A41" s="129" t="s">
        <v>196</v>
      </c>
      <c r="B41" s="3" t="s">
        <v>198</v>
      </c>
      <c r="C41" s="3">
        <v>100</v>
      </c>
      <c r="D41" s="3">
        <v>2</v>
      </c>
      <c r="E41" s="3" t="str">
        <f t="shared" si="0"/>
        <v>ThEm1002</v>
      </c>
      <c r="F41">
        <v>0</v>
      </c>
      <c r="G41" s="2"/>
      <c r="H41" s="2"/>
      <c r="I41" s="101">
        <v>2</v>
      </c>
      <c r="J41" s="101"/>
      <c r="K41" s="101"/>
      <c r="L41" s="101"/>
      <c r="M41" s="101"/>
      <c r="O41" s="103">
        <v>2</v>
      </c>
      <c r="P41" s="103"/>
      <c r="Q41" s="103"/>
      <c r="R41" s="103"/>
      <c r="S41" s="103"/>
      <c r="U41" s="102">
        <v>2</v>
      </c>
      <c r="V41" s="102"/>
      <c r="W41" s="102"/>
      <c r="X41" s="102"/>
      <c r="Y41" s="102"/>
    </row>
    <row r="42" spans="1:25" ht="12.75">
      <c r="A42" s="129" t="s">
        <v>196</v>
      </c>
      <c r="B42" s="3" t="s">
        <v>198</v>
      </c>
      <c r="C42" s="3">
        <v>150</v>
      </c>
      <c r="D42" s="3">
        <v>1</v>
      </c>
      <c r="E42" s="3" t="str">
        <f t="shared" si="0"/>
        <v>ThEm1501</v>
      </c>
      <c r="F42">
        <v>0</v>
      </c>
      <c r="G42" s="2"/>
      <c r="H42" s="2"/>
      <c r="I42" s="101">
        <v>3</v>
      </c>
      <c r="J42" s="101"/>
      <c r="K42" s="101"/>
      <c r="L42" s="101"/>
      <c r="M42" s="101"/>
      <c r="O42" s="103">
        <v>3</v>
      </c>
      <c r="P42" s="103"/>
      <c r="Q42" s="103"/>
      <c r="R42" s="103"/>
      <c r="S42" s="103"/>
      <c r="U42" s="102">
        <v>3</v>
      </c>
      <c r="V42" s="102"/>
      <c r="W42" s="102"/>
      <c r="X42" s="102"/>
      <c r="Y42" s="102"/>
    </row>
    <row r="43" spans="1:25" ht="12.75">
      <c r="A43" s="129" t="s">
        <v>196</v>
      </c>
      <c r="B43" s="3" t="s">
        <v>198</v>
      </c>
      <c r="C43" s="3">
        <v>150</v>
      </c>
      <c r="D43" s="3">
        <v>2</v>
      </c>
      <c r="E43" s="3" t="str">
        <f t="shared" si="0"/>
        <v>ThEm1502</v>
      </c>
      <c r="F43">
        <v>0</v>
      </c>
      <c r="G43" s="2"/>
      <c r="H43" s="2"/>
      <c r="I43" s="101">
        <v>5</v>
      </c>
      <c r="J43" s="101"/>
      <c r="K43" s="101"/>
      <c r="L43" s="101"/>
      <c r="M43" s="101"/>
      <c r="O43" s="103">
        <v>5</v>
      </c>
      <c r="P43" s="103"/>
      <c r="Q43" s="103"/>
      <c r="R43" s="103"/>
      <c r="S43" s="103"/>
      <c r="U43" s="102">
        <v>5</v>
      </c>
      <c r="V43" s="102"/>
      <c r="W43" s="102"/>
      <c r="X43" s="102"/>
      <c r="Y43" s="102"/>
    </row>
    <row r="44" spans="1:25" ht="12.75">
      <c r="A44" s="129" t="s">
        <v>196</v>
      </c>
      <c r="B44" s="3" t="s">
        <v>198</v>
      </c>
      <c r="C44" s="3">
        <v>200</v>
      </c>
      <c r="D44" s="3">
        <v>1</v>
      </c>
      <c r="E44" s="3" t="str">
        <f t="shared" si="0"/>
        <v>ThEm2001</v>
      </c>
      <c r="F44">
        <v>0</v>
      </c>
      <c r="I44" s="101">
        <v>10</v>
      </c>
      <c r="J44" s="101"/>
      <c r="K44" s="101"/>
      <c r="L44" s="101"/>
      <c r="M44" s="101"/>
      <c r="O44" s="103">
        <v>10</v>
      </c>
      <c r="P44" s="103"/>
      <c r="Q44" s="103"/>
      <c r="R44" s="103"/>
      <c r="S44" s="103"/>
      <c r="U44" s="102">
        <v>10</v>
      </c>
      <c r="V44" s="102"/>
      <c r="W44" s="102"/>
      <c r="X44" s="102"/>
      <c r="Y44" s="102"/>
    </row>
    <row r="45" spans="1:25" ht="12.75">
      <c r="A45" s="129" t="s">
        <v>196</v>
      </c>
      <c r="B45" s="3" t="s">
        <v>198</v>
      </c>
      <c r="C45" s="3">
        <v>200</v>
      </c>
      <c r="D45" s="3">
        <v>2</v>
      </c>
      <c r="E45" s="3" t="str">
        <f t="shared" si="0"/>
        <v>ThEm2002</v>
      </c>
      <c r="F45">
        <v>0</v>
      </c>
      <c r="I45" s="101">
        <v>15</v>
      </c>
      <c r="J45" s="101"/>
      <c r="K45" s="101"/>
      <c r="L45" s="101"/>
      <c r="M45" s="101"/>
      <c r="O45" s="103">
        <v>15</v>
      </c>
      <c r="P45" s="103"/>
      <c r="Q45" s="103"/>
      <c r="R45" s="103"/>
      <c r="S45" s="103"/>
      <c r="U45" s="102">
        <v>15</v>
      </c>
      <c r="V45" s="102"/>
      <c r="W45" s="102"/>
      <c r="X45" s="102"/>
      <c r="Y45" s="102"/>
    </row>
    <row r="46" spans="1:25" ht="12.75">
      <c r="A46" s="129" t="s">
        <v>196</v>
      </c>
      <c r="B46" s="3" t="s">
        <v>67</v>
      </c>
      <c r="C46" s="3">
        <v>100</v>
      </c>
      <c r="D46" s="3">
        <v>1</v>
      </c>
      <c r="E46" s="3" t="str">
        <f t="shared" si="0"/>
        <v>ThPr1001</v>
      </c>
      <c r="F46">
        <v>4500</v>
      </c>
      <c r="I46" s="101">
        <v>20</v>
      </c>
      <c r="J46" s="101"/>
      <c r="K46" s="101"/>
      <c r="L46" s="101"/>
      <c r="M46" s="101"/>
      <c r="O46" s="103">
        <v>20</v>
      </c>
      <c r="P46" s="103"/>
      <c r="Q46" s="103"/>
      <c r="R46" s="103"/>
      <c r="S46" s="103"/>
      <c r="U46" s="102">
        <v>20</v>
      </c>
      <c r="V46" s="102"/>
      <c r="W46" s="102"/>
      <c r="X46" s="102"/>
      <c r="Y46" s="102"/>
    </row>
    <row r="47" spans="1:6" ht="12.75">
      <c r="A47" s="129" t="s">
        <v>196</v>
      </c>
      <c r="B47" s="3" t="s">
        <v>67</v>
      </c>
      <c r="C47" s="3">
        <v>100</v>
      </c>
      <c r="D47" s="3">
        <v>2</v>
      </c>
      <c r="E47" s="3" t="str">
        <f t="shared" si="0"/>
        <v>ThPr1002</v>
      </c>
      <c r="F47">
        <v>5500</v>
      </c>
    </row>
    <row r="48" spans="1:6" ht="12.75">
      <c r="A48" s="129" t="s">
        <v>196</v>
      </c>
      <c r="B48" s="3" t="s">
        <v>67</v>
      </c>
      <c r="C48" s="3">
        <v>150</v>
      </c>
      <c r="D48" s="3">
        <v>1</v>
      </c>
      <c r="E48" s="3" t="str">
        <f t="shared" si="0"/>
        <v>ThPr1501</v>
      </c>
      <c r="F48">
        <v>6750</v>
      </c>
    </row>
    <row r="49" spans="1:6" ht="12.75">
      <c r="A49" s="129" t="s">
        <v>196</v>
      </c>
      <c r="B49" s="3" t="s">
        <v>67</v>
      </c>
      <c r="C49" s="3">
        <v>150</v>
      </c>
      <c r="D49" s="3">
        <v>2</v>
      </c>
      <c r="E49" s="3" t="str">
        <f t="shared" si="0"/>
        <v>ThPr1502</v>
      </c>
      <c r="F49">
        <v>7750</v>
      </c>
    </row>
    <row r="50" spans="1:6" ht="12.75">
      <c r="A50" s="129" t="s">
        <v>196</v>
      </c>
      <c r="B50" s="3" t="s">
        <v>67</v>
      </c>
      <c r="C50" s="3">
        <v>200</v>
      </c>
      <c r="D50" s="3">
        <v>1</v>
      </c>
      <c r="E50" s="3" t="str">
        <f t="shared" si="0"/>
        <v>ThPr2001</v>
      </c>
      <c r="F50">
        <v>7250</v>
      </c>
    </row>
    <row r="51" spans="1:6" ht="12.75">
      <c r="A51" s="129" t="s">
        <v>196</v>
      </c>
      <c r="B51" s="3" t="s">
        <v>67</v>
      </c>
      <c r="C51" s="3">
        <v>200</v>
      </c>
      <c r="D51" s="3">
        <v>2</v>
      </c>
      <c r="E51" s="3" t="str">
        <f t="shared" si="0"/>
        <v>ThPr2002</v>
      </c>
      <c r="F51">
        <v>8250</v>
      </c>
    </row>
    <row r="52" spans="1:6" ht="12.75">
      <c r="A52" s="129" t="s">
        <v>197</v>
      </c>
      <c r="B52" s="3" t="s">
        <v>200</v>
      </c>
      <c r="C52" s="3">
        <v>100</v>
      </c>
      <c r="D52" s="3">
        <v>1</v>
      </c>
      <c r="E52" s="3" t="str">
        <f t="shared" si="0"/>
        <v>TaPa1001</v>
      </c>
      <c r="F52">
        <v>9750</v>
      </c>
    </row>
    <row r="53" spans="1:6" ht="12.75">
      <c r="A53" s="129" t="s">
        <v>197</v>
      </c>
      <c r="B53" s="3" t="s">
        <v>200</v>
      </c>
      <c r="C53" s="3">
        <v>100</v>
      </c>
      <c r="D53" s="3">
        <v>2</v>
      </c>
      <c r="E53" s="3" t="str">
        <f t="shared" si="0"/>
        <v>TaPa1002</v>
      </c>
      <c r="F53">
        <v>9750</v>
      </c>
    </row>
    <row r="54" spans="1:6" ht="12.75">
      <c r="A54" s="129" t="s">
        <v>197</v>
      </c>
      <c r="B54" s="3" t="s">
        <v>200</v>
      </c>
      <c r="C54" s="3">
        <v>150</v>
      </c>
      <c r="D54" s="3">
        <v>1</v>
      </c>
      <c r="E54" s="3" t="str">
        <f t="shared" si="0"/>
        <v>TaPa1501</v>
      </c>
      <c r="F54">
        <v>12500</v>
      </c>
    </row>
    <row r="55" spans="1:6" ht="12.75">
      <c r="A55" s="129" t="s">
        <v>197</v>
      </c>
      <c r="B55" s="3" t="s">
        <v>200</v>
      </c>
      <c r="C55" s="3">
        <v>150</v>
      </c>
      <c r="D55" s="3">
        <v>2</v>
      </c>
      <c r="E55" s="3" t="str">
        <f t="shared" si="0"/>
        <v>TaPa1502</v>
      </c>
      <c r="F55">
        <v>12500</v>
      </c>
    </row>
    <row r="56" spans="1:6" ht="12.75">
      <c r="A56" s="135" t="str">
        <f>'New Product'!E$4</f>
        <v>-</v>
      </c>
      <c r="B56" s="135" t="str">
        <f>'New Product'!E$5</f>
        <v>-</v>
      </c>
      <c r="C56" s="3">
        <v>100</v>
      </c>
      <c r="D56" s="3">
        <v>1</v>
      </c>
      <c r="E56" s="3" t="str">
        <f t="shared" si="0"/>
        <v>--1001</v>
      </c>
      <c r="F56" s="7" t="str">
        <f>'New Product'!E9</f>
        <v>-</v>
      </c>
    </row>
    <row r="57" spans="1:6" ht="12.75">
      <c r="A57" s="135" t="str">
        <f>'New Product'!E$4</f>
        <v>-</v>
      </c>
      <c r="B57" s="135" t="str">
        <f>'New Product'!E$5</f>
        <v>-</v>
      </c>
      <c r="C57" s="3">
        <v>100</v>
      </c>
      <c r="D57" s="3">
        <v>2</v>
      </c>
      <c r="E57" s="3" t="str">
        <f t="shared" si="0"/>
        <v>--1002</v>
      </c>
      <c r="F57" s="7" t="str">
        <f>'New Product'!E10</f>
        <v>-</v>
      </c>
    </row>
    <row r="58" spans="1:6" ht="12.75">
      <c r="A58" s="135" t="str">
        <f>'New Product'!E$4</f>
        <v>-</v>
      </c>
      <c r="B58" s="135" t="str">
        <f>'New Product'!E$5</f>
        <v>-</v>
      </c>
      <c r="C58" s="3">
        <v>150</v>
      </c>
      <c r="D58" s="3">
        <v>1</v>
      </c>
      <c r="E58" s="3" t="str">
        <f t="shared" si="0"/>
        <v>--1501</v>
      </c>
      <c r="F58" s="7" t="str">
        <f>'New Product'!E11</f>
        <v>-</v>
      </c>
    </row>
    <row r="59" spans="1:6" ht="12.75">
      <c r="A59" s="135" t="str">
        <f>'New Product'!E$4</f>
        <v>-</v>
      </c>
      <c r="B59" s="135" t="str">
        <f>'New Product'!E$5</f>
        <v>-</v>
      </c>
      <c r="C59" s="3">
        <v>150</v>
      </c>
      <c r="D59" s="3">
        <v>2</v>
      </c>
      <c r="E59" s="3" t="str">
        <f t="shared" si="0"/>
        <v>--1502</v>
      </c>
      <c r="F59" s="7" t="str">
        <f>'New Product'!E12</f>
        <v>-</v>
      </c>
    </row>
    <row r="60" spans="1:6" ht="12.75">
      <c r="A60" s="135" t="str">
        <f>'New Product'!E$4</f>
        <v>-</v>
      </c>
      <c r="B60" s="135" t="str">
        <f>'New Product'!E$5</f>
        <v>-</v>
      </c>
      <c r="C60" s="3">
        <v>200</v>
      </c>
      <c r="D60" s="3">
        <v>1</v>
      </c>
      <c r="E60" s="3" t="str">
        <f t="shared" si="0"/>
        <v>--2001</v>
      </c>
      <c r="F60" s="7" t="str">
        <f>'New Product'!E13</f>
        <v>-</v>
      </c>
    </row>
    <row r="61" spans="1:6" ht="12.75">
      <c r="A61" s="135" t="str">
        <f>'New Product'!E$4</f>
        <v>-</v>
      </c>
      <c r="B61" s="135" t="str">
        <f>'New Product'!E$5</f>
        <v>-</v>
      </c>
      <c r="C61" s="3">
        <v>200</v>
      </c>
      <c r="D61" s="3">
        <v>2</v>
      </c>
      <c r="E61" s="3" t="str">
        <f t="shared" si="0"/>
        <v>--2002</v>
      </c>
      <c r="F61" s="7" t="str">
        <f>'New Product'!E14</f>
        <v>-</v>
      </c>
    </row>
    <row r="63" ht="12.75">
      <c r="A63" s="1" t="s">
        <v>255</v>
      </c>
    </row>
    <row r="64" spans="1:10" ht="12.75">
      <c r="A64" s="1" t="s">
        <v>65</v>
      </c>
      <c r="B64" s="1" t="s">
        <v>249</v>
      </c>
      <c r="C64" s="1" t="s">
        <v>180</v>
      </c>
      <c r="D64" s="1" t="s">
        <v>256</v>
      </c>
      <c r="E64" s="1" t="s">
        <v>70</v>
      </c>
      <c r="F64" s="1" t="s">
        <v>257</v>
      </c>
      <c r="H64" s="151"/>
      <c r="I64" s="2"/>
      <c r="J64" s="2"/>
    </row>
    <row r="65" spans="1:10" ht="12.75">
      <c r="A65" t="s">
        <v>246</v>
      </c>
      <c r="B65">
        <v>1</v>
      </c>
      <c r="C65">
        <v>1</v>
      </c>
      <c r="D65">
        <v>7</v>
      </c>
      <c r="E65" t="str">
        <f aca="true" t="shared" si="1" ref="E65:E106">CONCATENATE(LEFT(A65),B65,C65)</f>
        <v>C11</v>
      </c>
      <c r="F65" s="130">
        <f aca="true" t="shared" si="2" ref="F65:F106">D65*(1000/B65)</f>
        <v>7000</v>
      </c>
      <c r="H65" s="145"/>
      <c r="I65" s="145"/>
      <c r="J65" s="2"/>
    </row>
    <row r="66" spans="1:10" ht="12.75">
      <c r="A66" t="s">
        <v>246</v>
      </c>
      <c r="B66">
        <v>1</v>
      </c>
      <c r="C66">
        <v>2</v>
      </c>
      <c r="D66">
        <v>8</v>
      </c>
      <c r="E66" t="str">
        <f t="shared" si="1"/>
        <v>C12</v>
      </c>
      <c r="F66" s="130">
        <f t="shared" si="2"/>
        <v>8000</v>
      </c>
      <c r="H66" s="146"/>
      <c r="I66" s="146"/>
      <c r="J66" s="2"/>
    </row>
    <row r="67" spans="1:10" ht="12.75">
      <c r="A67" t="s">
        <v>246</v>
      </c>
      <c r="B67">
        <v>2</v>
      </c>
      <c r="C67">
        <v>1</v>
      </c>
      <c r="D67">
        <v>7</v>
      </c>
      <c r="E67" t="str">
        <f t="shared" si="1"/>
        <v>C21</v>
      </c>
      <c r="F67" s="130">
        <f t="shared" si="2"/>
        <v>3500</v>
      </c>
      <c r="H67" s="146"/>
      <c r="I67" s="146"/>
      <c r="J67" s="2"/>
    </row>
    <row r="68" spans="1:10" ht="12.75">
      <c r="A68" t="s">
        <v>246</v>
      </c>
      <c r="B68">
        <v>2</v>
      </c>
      <c r="C68">
        <v>2</v>
      </c>
      <c r="D68">
        <v>8</v>
      </c>
      <c r="E68" t="str">
        <f t="shared" si="1"/>
        <v>C22</v>
      </c>
      <c r="F68" s="130">
        <f t="shared" si="2"/>
        <v>4000</v>
      </c>
      <c r="H68" s="146"/>
      <c r="I68" s="146"/>
      <c r="J68" s="2"/>
    </row>
    <row r="69" spans="1:10" ht="12.75">
      <c r="A69" t="s">
        <v>246</v>
      </c>
      <c r="B69">
        <v>3</v>
      </c>
      <c r="C69">
        <v>1</v>
      </c>
      <c r="D69">
        <v>7</v>
      </c>
      <c r="E69" t="str">
        <f t="shared" si="1"/>
        <v>C31</v>
      </c>
      <c r="F69" s="130">
        <f t="shared" si="2"/>
        <v>2333.333333333333</v>
      </c>
      <c r="H69" s="2"/>
      <c r="I69" s="2"/>
      <c r="J69" s="2"/>
    </row>
    <row r="70" spans="1:6" ht="12.75">
      <c r="A70" t="s">
        <v>246</v>
      </c>
      <c r="B70">
        <v>3</v>
      </c>
      <c r="C70">
        <v>2</v>
      </c>
      <c r="D70">
        <v>8</v>
      </c>
      <c r="E70" t="str">
        <f t="shared" si="1"/>
        <v>C32</v>
      </c>
      <c r="F70" s="130">
        <f t="shared" si="2"/>
        <v>2666.6666666666665</v>
      </c>
    </row>
    <row r="71" spans="1:6" ht="12.75">
      <c r="A71" t="s">
        <v>246</v>
      </c>
      <c r="B71">
        <v>5</v>
      </c>
      <c r="C71">
        <v>1</v>
      </c>
      <c r="D71">
        <v>7</v>
      </c>
      <c r="E71" t="str">
        <f t="shared" si="1"/>
        <v>C51</v>
      </c>
      <c r="F71" s="130">
        <f t="shared" si="2"/>
        <v>1400</v>
      </c>
    </row>
    <row r="72" spans="1:6" ht="12.75">
      <c r="A72" t="s">
        <v>246</v>
      </c>
      <c r="B72">
        <v>5</v>
      </c>
      <c r="C72">
        <v>2</v>
      </c>
      <c r="D72">
        <v>8</v>
      </c>
      <c r="E72" t="str">
        <f t="shared" si="1"/>
        <v>C52</v>
      </c>
      <c r="F72" s="130">
        <f t="shared" si="2"/>
        <v>1600</v>
      </c>
    </row>
    <row r="73" spans="1:6" ht="12.75">
      <c r="A73" t="s">
        <v>246</v>
      </c>
      <c r="B73">
        <v>10</v>
      </c>
      <c r="C73">
        <v>1</v>
      </c>
      <c r="D73">
        <v>7</v>
      </c>
      <c r="E73" t="str">
        <f t="shared" si="1"/>
        <v>C101</v>
      </c>
      <c r="F73" s="130">
        <f t="shared" si="2"/>
        <v>700</v>
      </c>
    </row>
    <row r="74" spans="1:6" ht="12.75">
      <c r="A74" t="s">
        <v>246</v>
      </c>
      <c r="B74">
        <v>10</v>
      </c>
      <c r="C74">
        <v>2</v>
      </c>
      <c r="D74">
        <v>8</v>
      </c>
      <c r="E74" t="str">
        <f t="shared" si="1"/>
        <v>C102</v>
      </c>
      <c r="F74" s="130">
        <f t="shared" si="2"/>
        <v>800</v>
      </c>
    </row>
    <row r="75" spans="1:6" ht="12.75">
      <c r="A75" t="s">
        <v>246</v>
      </c>
      <c r="B75">
        <v>15</v>
      </c>
      <c r="C75">
        <v>1</v>
      </c>
      <c r="D75">
        <v>7</v>
      </c>
      <c r="E75" t="str">
        <f t="shared" si="1"/>
        <v>C151</v>
      </c>
      <c r="F75" s="130">
        <f t="shared" si="2"/>
        <v>466.6666666666667</v>
      </c>
    </row>
    <row r="76" spans="1:6" ht="12.75">
      <c r="A76" t="s">
        <v>246</v>
      </c>
      <c r="B76">
        <v>15</v>
      </c>
      <c r="C76">
        <v>2</v>
      </c>
      <c r="D76">
        <v>8</v>
      </c>
      <c r="E76" t="str">
        <f t="shared" si="1"/>
        <v>C152</v>
      </c>
      <c r="F76" s="130">
        <f t="shared" si="2"/>
        <v>533.3333333333334</v>
      </c>
    </row>
    <row r="77" spans="1:6" ht="12.75">
      <c r="A77" t="s">
        <v>246</v>
      </c>
      <c r="B77">
        <v>20</v>
      </c>
      <c r="C77">
        <v>1</v>
      </c>
      <c r="D77">
        <v>7</v>
      </c>
      <c r="E77" t="str">
        <f t="shared" si="1"/>
        <v>C201</v>
      </c>
      <c r="F77" s="130">
        <f t="shared" si="2"/>
        <v>350</v>
      </c>
    </row>
    <row r="78" spans="1:6" ht="12.75">
      <c r="A78" t="s">
        <v>246</v>
      </c>
      <c r="B78">
        <v>20</v>
      </c>
      <c r="C78">
        <v>2</v>
      </c>
      <c r="D78">
        <v>8</v>
      </c>
      <c r="E78" t="str">
        <f t="shared" si="1"/>
        <v>C202</v>
      </c>
      <c r="F78" s="130">
        <f t="shared" si="2"/>
        <v>400</v>
      </c>
    </row>
    <row r="79" spans="1:6" ht="12.75">
      <c r="A79" t="s">
        <v>247</v>
      </c>
      <c r="B79">
        <v>1</v>
      </c>
      <c r="C79">
        <v>1</v>
      </c>
      <c r="D79">
        <v>8</v>
      </c>
      <c r="E79" t="str">
        <f t="shared" si="1"/>
        <v>P11</v>
      </c>
      <c r="F79" s="130">
        <f t="shared" si="2"/>
        <v>8000</v>
      </c>
    </row>
    <row r="80" spans="1:6" ht="12.75">
      <c r="A80" t="s">
        <v>247</v>
      </c>
      <c r="B80">
        <v>1</v>
      </c>
      <c r="C80">
        <v>2</v>
      </c>
      <c r="D80">
        <v>9</v>
      </c>
      <c r="E80" t="str">
        <f t="shared" si="1"/>
        <v>P12</v>
      </c>
      <c r="F80" s="130">
        <f t="shared" si="2"/>
        <v>9000</v>
      </c>
    </row>
    <row r="81" spans="1:6" ht="12.75">
      <c r="A81" t="s">
        <v>247</v>
      </c>
      <c r="B81">
        <v>2</v>
      </c>
      <c r="C81">
        <v>1</v>
      </c>
      <c r="D81">
        <v>8</v>
      </c>
      <c r="E81" t="str">
        <f t="shared" si="1"/>
        <v>P21</v>
      </c>
      <c r="F81" s="130">
        <f t="shared" si="2"/>
        <v>4000</v>
      </c>
    </row>
    <row r="82" spans="1:6" ht="12.75">
      <c r="A82" t="s">
        <v>247</v>
      </c>
      <c r="B82">
        <v>2</v>
      </c>
      <c r="C82">
        <v>2</v>
      </c>
      <c r="D82">
        <v>9</v>
      </c>
      <c r="E82" t="str">
        <f t="shared" si="1"/>
        <v>P22</v>
      </c>
      <c r="F82" s="130">
        <f t="shared" si="2"/>
        <v>4500</v>
      </c>
    </row>
    <row r="83" spans="1:6" ht="12.75">
      <c r="A83" t="s">
        <v>247</v>
      </c>
      <c r="B83">
        <v>3</v>
      </c>
      <c r="C83">
        <v>1</v>
      </c>
      <c r="D83">
        <v>8</v>
      </c>
      <c r="E83" t="str">
        <f t="shared" si="1"/>
        <v>P31</v>
      </c>
      <c r="F83" s="130">
        <f t="shared" si="2"/>
        <v>2666.6666666666665</v>
      </c>
    </row>
    <row r="84" spans="1:6" ht="12.75">
      <c r="A84" t="s">
        <v>247</v>
      </c>
      <c r="B84">
        <v>3</v>
      </c>
      <c r="C84">
        <v>2</v>
      </c>
      <c r="D84">
        <v>9</v>
      </c>
      <c r="E84" t="str">
        <f t="shared" si="1"/>
        <v>P32</v>
      </c>
      <c r="F84" s="130">
        <f t="shared" si="2"/>
        <v>3000</v>
      </c>
    </row>
    <row r="85" spans="1:6" ht="12.75">
      <c r="A85" t="s">
        <v>247</v>
      </c>
      <c r="B85">
        <v>5</v>
      </c>
      <c r="C85">
        <v>1</v>
      </c>
      <c r="D85">
        <v>8</v>
      </c>
      <c r="E85" t="str">
        <f t="shared" si="1"/>
        <v>P51</v>
      </c>
      <c r="F85" s="130">
        <f t="shared" si="2"/>
        <v>1600</v>
      </c>
    </row>
    <row r="86" spans="1:6" ht="12.75">
      <c r="A86" t="s">
        <v>247</v>
      </c>
      <c r="B86">
        <v>5</v>
      </c>
      <c r="C86">
        <v>2</v>
      </c>
      <c r="D86">
        <v>9</v>
      </c>
      <c r="E86" t="str">
        <f t="shared" si="1"/>
        <v>P52</v>
      </c>
      <c r="F86" s="130">
        <f t="shared" si="2"/>
        <v>1800</v>
      </c>
    </row>
    <row r="87" spans="1:6" ht="12.75">
      <c r="A87" t="s">
        <v>247</v>
      </c>
      <c r="B87">
        <v>10</v>
      </c>
      <c r="C87">
        <v>1</v>
      </c>
      <c r="D87">
        <v>8</v>
      </c>
      <c r="E87" t="str">
        <f t="shared" si="1"/>
        <v>P101</v>
      </c>
      <c r="F87" s="130">
        <f t="shared" si="2"/>
        <v>800</v>
      </c>
    </row>
    <row r="88" spans="1:6" ht="12.75">
      <c r="A88" t="s">
        <v>247</v>
      </c>
      <c r="B88">
        <v>10</v>
      </c>
      <c r="C88">
        <v>2</v>
      </c>
      <c r="D88">
        <v>9</v>
      </c>
      <c r="E88" t="str">
        <f t="shared" si="1"/>
        <v>P102</v>
      </c>
      <c r="F88" s="130">
        <f t="shared" si="2"/>
        <v>900</v>
      </c>
    </row>
    <row r="89" spans="1:6" ht="12.75">
      <c r="A89" t="s">
        <v>247</v>
      </c>
      <c r="B89">
        <v>15</v>
      </c>
      <c r="C89">
        <v>1</v>
      </c>
      <c r="D89">
        <v>8</v>
      </c>
      <c r="E89" t="str">
        <f t="shared" si="1"/>
        <v>P151</v>
      </c>
      <c r="F89" s="130">
        <f t="shared" si="2"/>
        <v>533.3333333333334</v>
      </c>
    </row>
    <row r="90" spans="1:6" ht="12.75">
      <c r="A90" t="s">
        <v>247</v>
      </c>
      <c r="B90">
        <v>15</v>
      </c>
      <c r="C90">
        <v>2</v>
      </c>
      <c r="D90">
        <v>9</v>
      </c>
      <c r="E90" t="str">
        <f t="shared" si="1"/>
        <v>P152</v>
      </c>
      <c r="F90" s="130">
        <f t="shared" si="2"/>
        <v>600</v>
      </c>
    </row>
    <row r="91" spans="1:6" ht="12.75">
      <c r="A91" t="s">
        <v>247</v>
      </c>
      <c r="B91">
        <v>20</v>
      </c>
      <c r="C91">
        <v>1</v>
      </c>
      <c r="D91">
        <v>8</v>
      </c>
      <c r="E91" t="str">
        <f t="shared" si="1"/>
        <v>P201</v>
      </c>
      <c r="F91" s="130">
        <f t="shared" si="2"/>
        <v>400</v>
      </c>
    </row>
    <row r="92" spans="1:6" ht="12.75">
      <c r="A92" t="s">
        <v>247</v>
      </c>
      <c r="B92">
        <v>20</v>
      </c>
      <c r="C92">
        <v>2</v>
      </c>
      <c r="D92">
        <v>9</v>
      </c>
      <c r="E92" t="str">
        <f t="shared" si="1"/>
        <v>P202</v>
      </c>
      <c r="F92" s="130">
        <f t="shared" si="2"/>
        <v>450</v>
      </c>
    </row>
    <row r="93" spans="1:6" ht="12.75">
      <c r="A93" t="s">
        <v>248</v>
      </c>
      <c r="B93">
        <v>1</v>
      </c>
      <c r="C93">
        <v>1</v>
      </c>
      <c r="D93">
        <v>9</v>
      </c>
      <c r="E93" t="str">
        <f t="shared" si="1"/>
        <v>G11</v>
      </c>
      <c r="F93" s="130">
        <f t="shared" si="2"/>
        <v>9000</v>
      </c>
    </row>
    <row r="94" spans="1:6" ht="12.75">
      <c r="A94" t="s">
        <v>248</v>
      </c>
      <c r="B94">
        <v>1</v>
      </c>
      <c r="C94">
        <v>2</v>
      </c>
      <c r="D94">
        <v>10</v>
      </c>
      <c r="E94" t="str">
        <f t="shared" si="1"/>
        <v>G12</v>
      </c>
      <c r="F94" s="130">
        <f t="shared" si="2"/>
        <v>10000</v>
      </c>
    </row>
    <row r="95" spans="1:6" ht="12.75">
      <c r="A95" t="s">
        <v>248</v>
      </c>
      <c r="B95">
        <v>2</v>
      </c>
      <c r="C95">
        <v>1</v>
      </c>
      <c r="D95">
        <v>9</v>
      </c>
      <c r="E95" t="str">
        <f t="shared" si="1"/>
        <v>G21</v>
      </c>
      <c r="F95" s="130">
        <f t="shared" si="2"/>
        <v>4500</v>
      </c>
    </row>
    <row r="96" spans="1:6" ht="12.75">
      <c r="A96" t="s">
        <v>248</v>
      </c>
      <c r="B96">
        <v>2</v>
      </c>
      <c r="C96">
        <v>2</v>
      </c>
      <c r="D96">
        <v>10</v>
      </c>
      <c r="E96" t="str">
        <f t="shared" si="1"/>
        <v>G22</v>
      </c>
      <c r="F96" s="130">
        <f t="shared" si="2"/>
        <v>5000</v>
      </c>
    </row>
    <row r="97" spans="1:6" ht="12.75">
      <c r="A97" t="s">
        <v>248</v>
      </c>
      <c r="B97">
        <v>3</v>
      </c>
      <c r="C97">
        <v>1</v>
      </c>
      <c r="D97">
        <v>9</v>
      </c>
      <c r="E97" t="str">
        <f t="shared" si="1"/>
        <v>G31</v>
      </c>
      <c r="F97" s="130">
        <f t="shared" si="2"/>
        <v>3000</v>
      </c>
    </row>
    <row r="98" spans="1:6" ht="12.75">
      <c r="A98" t="s">
        <v>248</v>
      </c>
      <c r="B98">
        <v>3</v>
      </c>
      <c r="C98">
        <v>2</v>
      </c>
      <c r="D98">
        <v>10</v>
      </c>
      <c r="E98" t="str">
        <f t="shared" si="1"/>
        <v>G32</v>
      </c>
      <c r="F98" s="130">
        <f t="shared" si="2"/>
        <v>3333.333333333333</v>
      </c>
    </row>
    <row r="99" spans="1:6" ht="12.75">
      <c r="A99" t="s">
        <v>248</v>
      </c>
      <c r="B99">
        <v>5</v>
      </c>
      <c r="C99">
        <v>1</v>
      </c>
      <c r="D99">
        <v>9</v>
      </c>
      <c r="E99" t="str">
        <f t="shared" si="1"/>
        <v>G51</v>
      </c>
      <c r="F99" s="130">
        <f t="shared" si="2"/>
        <v>1800</v>
      </c>
    </row>
    <row r="100" spans="1:6" ht="12.75">
      <c r="A100" t="s">
        <v>248</v>
      </c>
      <c r="B100">
        <v>5</v>
      </c>
      <c r="C100">
        <v>2</v>
      </c>
      <c r="D100">
        <v>10</v>
      </c>
      <c r="E100" t="str">
        <f t="shared" si="1"/>
        <v>G52</v>
      </c>
      <c r="F100" s="130">
        <f t="shared" si="2"/>
        <v>2000</v>
      </c>
    </row>
    <row r="101" spans="1:6" ht="12.75">
      <c r="A101" t="s">
        <v>248</v>
      </c>
      <c r="B101">
        <v>10</v>
      </c>
      <c r="C101">
        <v>1</v>
      </c>
      <c r="D101">
        <v>9</v>
      </c>
      <c r="E101" t="str">
        <f t="shared" si="1"/>
        <v>G101</v>
      </c>
      <c r="F101" s="130">
        <f t="shared" si="2"/>
        <v>900</v>
      </c>
    </row>
    <row r="102" spans="1:6" ht="12.75">
      <c r="A102" t="s">
        <v>248</v>
      </c>
      <c r="B102">
        <v>10</v>
      </c>
      <c r="C102">
        <v>2</v>
      </c>
      <c r="D102">
        <v>10</v>
      </c>
      <c r="E102" t="str">
        <f t="shared" si="1"/>
        <v>G102</v>
      </c>
      <c r="F102" s="130">
        <f t="shared" si="2"/>
        <v>1000</v>
      </c>
    </row>
    <row r="103" spans="1:6" ht="12.75">
      <c r="A103" t="s">
        <v>248</v>
      </c>
      <c r="B103">
        <v>15</v>
      </c>
      <c r="C103">
        <v>1</v>
      </c>
      <c r="D103">
        <v>9</v>
      </c>
      <c r="E103" t="str">
        <f t="shared" si="1"/>
        <v>G151</v>
      </c>
      <c r="F103" s="130">
        <f t="shared" si="2"/>
        <v>600</v>
      </c>
    </row>
    <row r="104" spans="1:6" ht="12.75">
      <c r="A104" t="s">
        <v>248</v>
      </c>
      <c r="B104">
        <v>15</v>
      </c>
      <c r="C104">
        <v>2</v>
      </c>
      <c r="D104">
        <v>10</v>
      </c>
      <c r="E104" t="str">
        <f t="shared" si="1"/>
        <v>G152</v>
      </c>
      <c r="F104" s="130">
        <f t="shared" si="2"/>
        <v>666.6666666666667</v>
      </c>
    </row>
    <row r="105" spans="1:6" ht="12.75">
      <c r="A105" t="s">
        <v>248</v>
      </c>
      <c r="B105">
        <v>20</v>
      </c>
      <c r="C105">
        <v>1</v>
      </c>
      <c r="D105">
        <v>9</v>
      </c>
      <c r="E105" t="str">
        <f t="shared" si="1"/>
        <v>G201</v>
      </c>
      <c r="F105" s="130">
        <f t="shared" si="2"/>
        <v>450</v>
      </c>
    </row>
    <row r="106" spans="1:6" ht="12.75">
      <c r="A106" t="s">
        <v>248</v>
      </c>
      <c r="B106">
        <v>20</v>
      </c>
      <c r="C106">
        <v>2</v>
      </c>
      <c r="D106">
        <v>10</v>
      </c>
      <c r="E106" t="str">
        <f t="shared" si="1"/>
        <v>G202</v>
      </c>
      <c r="F106" s="130">
        <f t="shared" si="2"/>
        <v>500</v>
      </c>
    </row>
  </sheetData>
  <sheetProtection/>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5"/>
  <dimension ref="A1:F90"/>
  <sheetViews>
    <sheetView zoomScalePageLayoutView="0" workbookViewId="0" topLeftCell="A49">
      <selection activeCell="J34" sqref="J34"/>
    </sheetView>
  </sheetViews>
  <sheetFormatPr defaultColWidth="9.140625" defaultRowHeight="12.75"/>
  <cols>
    <col min="1" max="1" width="14.7109375" style="0" customWidth="1"/>
    <col min="3" max="3" width="20.00390625" style="0" customWidth="1"/>
    <col min="4" max="4" width="14.140625" style="0" customWidth="1"/>
    <col min="5" max="5" width="14.57421875" style="0" customWidth="1"/>
  </cols>
  <sheetData>
    <row r="1" spans="1:5" ht="12.75">
      <c r="A1" s="277" t="s">
        <v>27</v>
      </c>
      <c r="B1" s="277"/>
      <c r="C1" s="277"/>
      <c r="D1" s="277"/>
      <c r="E1" s="277"/>
    </row>
    <row r="2" spans="1:5" ht="12.75">
      <c r="A2" s="277" t="s">
        <v>28</v>
      </c>
      <c r="B2" s="277"/>
      <c r="C2" s="277"/>
      <c r="D2" s="277"/>
      <c r="E2" s="277"/>
    </row>
    <row r="3" spans="1:5" ht="12.75">
      <c r="A3" s="277" t="s">
        <v>29</v>
      </c>
      <c r="B3" s="277"/>
      <c r="C3" s="277"/>
      <c r="D3" s="277"/>
      <c r="E3" s="277"/>
    </row>
    <row r="4" spans="1:5" ht="12.75">
      <c r="A4" s="277" t="s">
        <v>30</v>
      </c>
      <c r="B4" s="277"/>
      <c r="C4" s="277"/>
      <c r="D4" s="277"/>
      <c r="E4" s="277"/>
    </row>
    <row r="5" spans="1:6" ht="12.75">
      <c r="A5" s="4" t="s">
        <v>31</v>
      </c>
      <c r="B5" s="27" t="s">
        <v>32</v>
      </c>
      <c r="C5" s="27" t="s">
        <v>33</v>
      </c>
      <c r="D5" s="27" t="s">
        <v>34</v>
      </c>
      <c r="E5" s="27" t="s">
        <v>35</v>
      </c>
      <c r="F5" s="29" t="s">
        <v>58</v>
      </c>
    </row>
    <row r="6" spans="1:5" ht="12.75">
      <c r="A6" s="4" t="s">
        <v>36</v>
      </c>
      <c r="B6" s="27">
        <v>100</v>
      </c>
      <c r="C6" s="27">
        <v>220</v>
      </c>
      <c r="D6" s="28">
        <v>420</v>
      </c>
      <c r="E6" s="28">
        <v>610</v>
      </c>
    </row>
    <row r="7" spans="1:5" ht="12.75">
      <c r="A7" s="4" t="s">
        <v>36</v>
      </c>
      <c r="B7" s="27">
        <v>150</v>
      </c>
      <c r="C7" s="27">
        <v>220</v>
      </c>
      <c r="D7" s="28">
        <v>620</v>
      </c>
      <c r="E7" s="28">
        <v>890</v>
      </c>
    </row>
    <row r="8" spans="1:5" ht="12.75">
      <c r="A8" s="4" t="s">
        <v>36</v>
      </c>
      <c r="B8" s="27">
        <v>200</v>
      </c>
      <c r="C8" s="27">
        <v>220</v>
      </c>
      <c r="D8" s="28">
        <v>1000</v>
      </c>
      <c r="E8" s="28">
        <v>1700</v>
      </c>
    </row>
    <row r="9" ht="12.75">
      <c r="A9" s="5"/>
    </row>
    <row r="10" spans="1:5" ht="12.75">
      <c r="A10" s="277" t="s">
        <v>37</v>
      </c>
      <c r="B10" s="277"/>
      <c r="C10" s="277"/>
      <c r="D10" s="277"/>
      <c r="E10" s="277"/>
    </row>
    <row r="11" spans="1:5" ht="12.75">
      <c r="A11" s="4" t="s">
        <v>31</v>
      </c>
      <c r="B11" s="27" t="s">
        <v>32</v>
      </c>
      <c r="C11" s="27" t="s">
        <v>33</v>
      </c>
      <c r="D11" s="27" t="s">
        <v>34</v>
      </c>
      <c r="E11" s="27" t="s">
        <v>35</v>
      </c>
    </row>
    <row r="12" spans="1:5" ht="12.75">
      <c r="A12" s="4" t="s">
        <v>38</v>
      </c>
      <c r="B12" s="27">
        <v>100</v>
      </c>
      <c r="C12" s="27">
        <v>220</v>
      </c>
      <c r="D12" s="28">
        <v>390</v>
      </c>
      <c r="E12" s="28">
        <v>580</v>
      </c>
    </row>
    <row r="13" spans="1:5" ht="12.75">
      <c r="A13" s="4" t="s">
        <v>38</v>
      </c>
      <c r="B13" s="27">
        <v>150</v>
      </c>
      <c r="C13" s="27">
        <v>220</v>
      </c>
      <c r="D13" s="28">
        <v>580</v>
      </c>
      <c r="E13" s="28">
        <v>850</v>
      </c>
    </row>
    <row r="14" spans="1:5" ht="12.75">
      <c r="A14" s="4" t="s">
        <v>38</v>
      </c>
      <c r="B14" s="27">
        <v>200</v>
      </c>
      <c r="C14" s="27">
        <v>220</v>
      </c>
      <c r="D14" s="28">
        <v>1000</v>
      </c>
      <c r="E14" s="28">
        <v>1600</v>
      </c>
    </row>
    <row r="16" spans="1:5" ht="12.75">
      <c r="A16" s="277" t="s">
        <v>39</v>
      </c>
      <c r="B16" s="277"/>
      <c r="C16" s="277"/>
      <c r="D16" s="277"/>
      <c r="E16" s="277"/>
    </row>
    <row r="17" spans="1:6" ht="12.75">
      <c r="A17" s="4" t="s">
        <v>40</v>
      </c>
      <c r="B17" s="27" t="s">
        <v>32</v>
      </c>
      <c r="C17" s="27" t="s">
        <v>33</v>
      </c>
      <c r="D17" s="27" t="s">
        <v>34</v>
      </c>
      <c r="E17" s="27" t="s">
        <v>35</v>
      </c>
      <c r="F17" t="s">
        <v>59</v>
      </c>
    </row>
    <row r="18" spans="1:5" ht="12.75">
      <c r="A18" s="4" t="s">
        <v>41</v>
      </c>
      <c r="B18" s="27">
        <v>100</v>
      </c>
      <c r="C18" s="27">
        <v>600</v>
      </c>
      <c r="D18" s="28">
        <v>1400</v>
      </c>
      <c r="E18" s="28">
        <v>1500</v>
      </c>
    </row>
    <row r="19" spans="1:5" ht="12.75">
      <c r="A19" s="4" t="s">
        <v>41</v>
      </c>
      <c r="B19" s="27">
        <v>150</v>
      </c>
      <c r="C19" s="27">
        <v>600</v>
      </c>
      <c r="D19" s="28">
        <v>2100</v>
      </c>
      <c r="E19" s="28">
        <v>2300</v>
      </c>
    </row>
    <row r="20" spans="1:5" ht="12.75">
      <c r="A20" s="4" t="s">
        <v>41</v>
      </c>
      <c r="B20" s="27">
        <v>200</v>
      </c>
      <c r="C20" s="27">
        <v>600</v>
      </c>
      <c r="D20" s="28">
        <v>2900</v>
      </c>
      <c r="E20" s="28">
        <v>3100</v>
      </c>
    </row>
    <row r="21" ht="12.75">
      <c r="A21" s="5" t="s">
        <v>42</v>
      </c>
    </row>
    <row r="22" ht="12.75">
      <c r="A22" s="3"/>
    </row>
    <row r="23" ht="12.75">
      <c r="A23" s="3"/>
    </row>
    <row r="24" ht="12.75">
      <c r="A24" s="3"/>
    </row>
    <row r="25" ht="12.75">
      <c r="A25" s="3"/>
    </row>
    <row r="26" spans="1:5" ht="12.75">
      <c r="A26" s="277" t="s">
        <v>43</v>
      </c>
      <c r="B26" s="277"/>
      <c r="C26" s="277"/>
      <c r="D26" s="277"/>
      <c r="E26" s="277"/>
    </row>
    <row r="27" spans="1:5" ht="12.75">
      <c r="A27" s="4" t="s">
        <v>40</v>
      </c>
      <c r="B27" s="27" t="s">
        <v>32</v>
      </c>
      <c r="C27" s="27" t="s">
        <v>33</v>
      </c>
      <c r="D27" s="27" t="s">
        <v>34</v>
      </c>
      <c r="E27" s="27" t="s">
        <v>35</v>
      </c>
    </row>
    <row r="28" spans="1:5" ht="12.75">
      <c r="A28" s="4" t="s">
        <v>44</v>
      </c>
      <c r="B28" s="27">
        <v>100</v>
      </c>
      <c r="C28" s="27">
        <v>3000</v>
      </c>
      <c r="D28" s="28">
        <v>2800</v>
      </c>
      <c r="E28" s="28">
        <v>3000</v>
      </c>
    </row>
    <row r="29" spans="1:5" ht="12.75">
      <c r="A29" s="4" t="s">
        <v>44</v>
      </c>
      <c r="B29" s="27">
        <v>150</v>
      </c>
      <c r="C29" s="27">
        <v>3000</v>
      </c>
      <c r="D29" s="28">
        <v>4000</v>
      </c>
      <c r="E29" s="28">
        <v>4200</v>
      </c>
    </row>
    <row r="30" spans="1:5" ht="12.75">
      <c r="A30" s="4" t="s">
        <v>44</v>
      </c>
      <c r="B30" s="27">
        <v>200</v>
      </c>
      <c r="C30" s="27">
        <v>3000</v>
      </c>
      <c r="D30" s="28">
        <v>5000</v>
      </c>
      <c r="E30" s="28">
        <v>5200</v>
      </c>
    </row>
    <row r="31" ht="12.75">
      <c r="A31" s="5" t="s">
        <v>42</v>
      </c>
    </row>
    <row r="36" spans="1:5" ht="12.75">
      <c r="A36" s="277" t="s">
        <v>45</v>
      </c>
      <c r="B36" s="277"/>
      <c r="C36" s="277"/>
      <c r="D36" s="277"/>
      <c r="E36" s="277"/>
    </row>
    <row r="37" spans="1:5" ht="12.75">
      <c r="A37" s="4" t="s">
        <v>40</v>
      </c>
      <c r="B37" s="27" t="s">
        <v>32</v>
      </c>
      <c r="C37" s="27" t="s">
        <v>33</v>
      </c>
      <c r="D37" s="27" t="s">
        <v>34</v>
      </c>
      <c r="E37" s="27" t="s">
        <v>35</v>
      </c>
    </row>
    <row r="38" spans="1:5" ht="12.75">
      <c r="A38" s="4" t="s">
        <v>44</v>
      </c>
      <c r="B38" s="27">
        <v>100</v>
      </c>
      <c r="C38" s="27" t="s">
        <v>46</v>
      </c>
      <c r="D38" s="28">
        <v>5500</v>
      </c>
      <c r="E38" s="28">
        <v>6500</v>
      </c>
    </row>
    <row r="39" spans="1:5" ht="12.75">
      <c r="A39" s="4" t="s">
        <v>44</v>
      </c>
      <c r="B39" s="27">
        <v>150</v>
      </c>
      <c r="C39" s="27" t="s">
        <v>46</v>
      </c>
      <c r="D39" s="28">
        <v>7500</v>
      </c>
      <c r="E39" s="28">
        <v>8500</v>
      </c>
    </row>
    <row r="40" spans="1:5" ht="12.75">
      <c r="A40" s="4" t="s">
        <v>44</v>
      </c>
      <c r="B40" s="27">
        <v>200</v>
      </c>
      <c r="C40" s="27" t="s">
        <v>46</v>
      </c>
      <c r="D40" s="28">
        <v>8500</v>
      </c>
      <c r="E40" s="28">
        <v>9500</v>
      </c>
    </row>
    <row r="41" ht="12.75">
      <c r="A41" t="s">
        <v>42</v>
      </c>
    </row>
    <row r="45" spans="1:5" ht="12.75">
      <c r="A45" s="277" t="s">
        <v>239</v>
      </c>
      <c r="B45" s="277"/>
      <c r="C45" s="277"/>
      <c r="D45" s="277"/>
      <c r="E45" s="277"/>
    </row>
    <row r="46" spans="1:5" ht="12.75">
      <c r="A46" s="4" t="s">
        <v>40</v>
      </c>
      <c r="B46" s="27" t="s">
        <v>32</v>
      </c>
      <c r="C46" s="27" t="s">
        <v>33</v>
      </c>
      <c r="D46" s="27" t="s">
        <v>34</v>
      </c>
      <c r="E46" s="27" t="s">
        <v>35</v>
      </c>
    </row>
    <row r="47" spans="1:5" ht="12.75">
      <c r="A47" s="4" t="s">
        <v>240</v>
      </c>
      <c r="B47" s="27">
        <v>100</v>
      </c>
      <c r="C47" s="27" t="s">
        <v>46</v>
      </c>
      <c r="D47" s="28">
        <v>4500</v>
      </c>
      <c r="E47" s="28">
        <v>5500</v>
      </c>
    </row>
    <row r="48" spans="1:5" ht="12.75">
      <c r="A48" s="4" t="s">
        <v>240</v>
      </c>
      <c r="B48" s="27">
        <v>150</v>
      </c>
      <c r="C48" s="27" t="s">
        <v>46</v>
      </c>
      <c r="D48" s="28">
        <v>6750</v>
      </c>
      <c r="E48" s="28">
        <v>7750</v>
      </c>
    </row>
    <row r="49" spans="1:5" ht="12.75">
      <c r="A49" s="4" t="s">
        <v>240</v>
      </c>
      <c r="B49" s="27">
        <v>200</v>
      </c>
      <c r="C49" s="27" t="s">
        <v>46</v>
      </c>
      <c r="D49" s="28">
        <v>7250</v>
      </c>
      <c r="E49" s="28">
        <v>8250</v>
      </c>
    </row>
    <row r="50" spans="1:5" ht="12.75">
      <c r="A50" s="2"/>
      <c r="B50" s="145"/>
      <c r="C50" s="145"/>
      <c r="D50" s="146"/>
      <c r="E50" s="146"/>
    </row>
    <row r="51" spans="1:5" ht="12.75">
      <c r="A51" s="277" t="s">
        <v>241</v>
      </c>
      <c r="B51" s="277"/>
      <c r="C51" s="277"/>
      <c r="D51" s="277"/>
      <c r="E51" s="277"/>
    </row>
    <row r="52" spans="1:5" ht="12.75">
      <c r="A52" s="4" t="s">
        <v>40</v>
      </c>
      <c r="B52" s="27" t="s">
        <v>32</v>
      </c>
      <c r="C52" s="27" t="s">
        <v>33</v>
      </c>
      <c r="D52" s="27" t="s">
        <v>34</v>
      </c>
      <c r="E52" s="27" t="s">
        <v>35</v>
      </c>
    </row>
    <row r="53" spans="1:5" ht="12.75">
      <c r="A53" s="4" t="s">
        <v>240</v>
      </c>
      <c r="B53" s="27">
        <v>100</v>
      </c>
      <c r="C53" s="27">
        <v>3000</v>
      </c>
      <c r="D53" s="28">
        <v>2600</v>
      </c>
      <c r="E53" s="28">
        <v>3200</v>
      </c>
    </row>
    <row r="54" spans="1:5" ht="12.75">
      <c r="A54" s="4" t="s">
        <v>240</v>
      </c>
      <c r="B54" s="27">
        <v>150</v>
      </c>
      <c r="C54" s="27">
        <v>3000</v>
      </c>
      <c r="D54" s="28">
        <v>3040</v>
      </c>
      <c r="E54" s="28">
        <v>3640</v>
      </c>
    </row>
    <row r="55" spans="1:5" ht="12.75">
      <c r="A55" s="4" t="s">
        <v>240</v>
      </c>
      <c r="B55" s="27">
        <v>200</v>
      </c>
      <c r="C55" s="27">
        <v>3000</v>
      </c>
      <c r="D55" s="28">
        <v>3850</v>
      </c>
      <c r="E55" s="28">
        <v>4450</v>
      </c>
    </row>
    <row r="56" spans="1:5" ht="12.75">
      <c r="A56" s="277" t="s">
        <v>47</v>
      </c>
      <c r="B56" s="277"/>
      <c r="C56" s="277"/>
      <c r="D56" s="277"/>
      <c r="E56" s="277"/>
    </row>
    <row r="57" spans="1:5" ht="12.75">
      <c r="A57" s="4" t="s">
        <v>31</v>
      </c>
      <c r="B57" s="27" t="s">
        <v>32</v>
      </c>
      <c r="C57" s="27" t="s">
        <v>33</v>
      </c>
      <c r="D57" s="27" t="s">
        <v>48</v>
      </c>
      <c r="E57" s="27" t="s">
        <v>49</v>
      </c>
    </row>
    <row r="58" spans="1:5" ht="12.75">
      <c r="A58" s="4" t="s">
        <v>36</v>
      </c>
      <c r="B58" s="27" t="s">
        <v>46</v>
      </c>
      <c r="C58" s="27">
        <v>220</v>
      </c>
      <c r="D58" s="28">
        <v>125</v>
      </c>
      <c r="E58" s="28">
        <v>200</v>
      </c>
    </row>
    <row r="60" spans="1:5" ht="12.75">
      <c r="A60" s="277" t="s">
        <v>50</v>
      </c>
      <c r="B60" s="277"/>
      <c r="C60" s="277"/>
      <c r="D60" s="277"/>
      <c r="E60" s="277"/>
    </row>
    <row r="61" spans="1:5" ht="12.75">
      <c r="A61" s="4" t="s">
        <v>51</v>
      </c>
      <c r="B61" s="27" t="s">
        <v>32</v>
      </c>
      <c r="C61" s="27" t="s">
        <v>52</v>
      </c>
      <c r="D61" s="27" t="s">
        <v>48</v>
      </c>
      <c r="E61" s="27" t="s">
        <v>49</v>
      </c>
    </row>
    <row r="62" spans="1:5" ht="12.75">
      <c r="A62" s="4" t="s">
        <v>53</v>
      </c>
      <c r="B62" s="27" t="s">
        <v>46</v>
      </c>
      <c r="C62" s="27" t="s">
        <v>46</v>
      </c>
      <c r="D62" s="28">
        <v>7</v>
      </c>
      <c r="E62" s="28">
        <v>8</v>
      </c>
    </row>
    <row r="63" spans="1:5" ht="12.75">
      <c r="A63" s="4" t="s">
        <v>54</v>
      </c>
      <c r="B63" s="27" t="s">
        <v>46</v>
      </c>
      <c r="C63" s="27" t="s">
        <v>46</v>
      </c>
      <c r="D63" s="28">
        <v>8</v>
      </c>
      <c r="E63" s="28">
        <v>9</v>
      </c>
    </row>
    <row r="64" spans="1:5" ht="12.75">
      <c r="A64" s="4" t="s">
        <v>55</v>
      </c>
      <c r="B64" s="27" t="s">
        <v>46</v>
      </c>
      <c r="C64" s="27" t="s">
        <v>46</v>
      </c>
      <c r="D64" s="28">
        <v>9</v>
      </c>
      <c r="E64" s="28">
        <v>10</v>
      </c>
    </row>
    <row r="65" spans="1:5" ht="12.75">
      <c r="A65" s="2"/>
      <c r="B65" s="145"/>
      <c r="C65" s="145"/>
      <c r="D65" s="146"/>
      <c r="E65" s="146"/>
    </row>
    <row r="66" ht="12.75">
      <c r="C66" s="147" t="s">
        <v>242</v>
      </c>
    </row>
    <row r="67" spans="1:5" ht="12.75">
      <c r="A67" s="4" t="s">
        <v>40</v>
      </c>
      <c r="B67" s="27" t="s">
        <v>32</v>
      </c>
      <c r="C67" s="27" t="s">
        <v>33</v>
      </c>
      <c r="D67" s="27" t="s">
        <v>34</v>
      </c>
      <c r="E67" s="27" t="s">
        <v>35</v>
      </c>
    </row>
    <row r="68" spans="1:5" ht="12.75">
      <c r="A68" s="4" t="s">
        <v>243</v>
      </c>
      <c r="B68" s="27">
        <v>100</v>
      </c>
      <c r="C68" s="27" t="s">
        <v>46</v>
      </c>
      <c r="D68" s="28">
        <v>9750</v>
      </c>
      <c r="E68" s="28">
        <v>9750</v>
      </c>
    </row>
    <row r="69" spans="1:5" ht="12.75">
      <c r="A69" s="4" t="s">
        <v>243</v>
      </c>
      <c r="B69" s="27">
        <v>150</v>
      </c>
      <c r="C69" s="27" t="s">
        <v>46</v>
      </c>
      <c r="D69" s="28">
        <v>12500</v>
      </c>
      <c r="E69" s="28">
        <v>12500</v>
      </c>
    </row>
    <row r="70" spans="1:5" ht="12.75">
      <c r="A70" s="4" t="s">
        <v>243</v>
      </c>
      <c r="B70" s="27">
        <v>200</v>
      </c>
      <c r="C70" s="27" t="s">
        <v>46</v>
      </c>
      <c r="D70" s="28">
        <v>14650</v>
      </c>
      <c r="E70" s="28">
        <v>14650</v>
      </c>
    </row>
    <row r="74" ht="12.75">
      <c r="A74" s="1" t="s">
        <v>233</v>
      </c>
    </row>
    <row r="75" ht="12.75">
      <c r="A75" s="143" t="s">
        <v>219</v>
      </c>
    </row>
    <row r="76" ht="12.75">
      <c r="A76" s="143" t="s">
        <v>220</v>
      </c>
    </row>
    <row r="77" spans="4:5" ht="12.75">
      <c r="D77" s="142" t="s">
        <v>235</v>
      </c>
      <c r="E77" s="142" t="s">
        <v>234</v>
      </c>
    </row>
    <row r="78" spans="1:5" ht="12.75">
      <c r="A78" s="143" t="s">
        <v>221</v>
      </c>
      <c r="D78">
        <v>1.2</v>
      </c>
      <c r="E78">
        <f>D78*1000</f>
        <v>1200</v>
      </c>
    </row>
    <row r="79" spans="1:5" ht="12.75">
      <c r="A79" s="143" t="s">
        <v>222</v>
      </c>
      <c r="D79">
        <v>1.2</v>
      </c>
      <c r="E79">
        <f aca="true" t="shared" si="0" ref="E79:E88">D79*1000</f>
        <v>1200</v>
      </c>
    </row>
    <row r="80" spans="1:5" ht="12.75">
      <c r="A80" s="143" t="s">
        <v>223</v>
      </c>
      <c r="D80">
        <v>1.3</v>
      </c>
      <c r="E80">
        <f t="shared" si="0"/>
        <v>1300</v>
      </c>
    </row>
    <row r="81" spans="1:5" ht="12.75">
      <c r="A81" s="143" t="s">
        <v>224</v>
      </c>
      <c r="D81">
        <v>1.6</v>
      </c>
      <c r="E81">
        <f t="shared" si="0"/>
        <v>1600</v>
      </c>
    </row>
    <row r="82" spans="1:5" ht="12.75">
      <c r="A82" s="143" t="s">
        <v>225</v>
      </c>
      <c r="D82">
        <v>1.1</v>
      </c>
      <c r="E82">
        <f t="shared" si="0"/>
        <v>1100</v>
      </c>
    </row>
    <row r="83" spans="1:5" ht="12.75">
      <c r="A83" s="143" t="s">
        <v>226</v>
      </c>
      <c r="D83">
        <v>1.9</v>
      </c>
      <c r="E83">
        <f t="shared" si="0"/>
        <v>1900</v>
      </c>
    </row>
    <row r="84" spans="1:5" ht="12.75">
      <c r="A84" s="143" t="s">
        <v>227</v>
      </c>
      <c r="D84">
        <v>1.3</v>
      </c>
      <c r="E84">
        <f t="shared" si="0"/>
        <v>1300</v>
      </c>
    </row>
    <row r="85" spans="1:5" ht="12.75">
      <c r="A85" s="143" t="s">
        <v>228</v>
      </c>
      <c r="D85">
        <v>3.75</v>
      </c>
      <c r="E85">
        <f t="shared" si="0"/>
        <v>3750</v>
      </c>
    </row>
    <row r="86" spans="1:5" ht="12.75">
      <c r="A86" s="143" t="s">
        <v>229</v>
      </c>
      <c r="D86">
        <v>8.5</v>
      </c>
      <c r="E86">
        <f t="shared" si="0"/>
        <v>8500</v>
      </c>
    </row>
    <row r="87" spans="1:5" ht="12.75">
      <c r="A87" s="143" t="s">
        <v>230</v>
      </c>
      <c r="D87">
        <v>5.6</v>
      </c>
      <c r="E87">
        <f t="shared" si="0"/>
        <v>5600</v>
      </c>
    </row>
    <row r="88" spans="1:5" ht="12.75">
      <c r="A88" s="143" t="s">
        <v>231</v>
      </c>
      <c r="D88">
        <v>6.3</v>
      </c>
      <c r="E88">
        <f t="shared" si="0"/>
        <v>6300</v>
      </c>
    </row>
    <row r="90" ht="12.75">
      <c r="A90" s="143" t="s">
        <v>232</v>
      </c>
    </row>
  </sheetData>
  <sheetProtection password="D040" sheet="1" objects="1" scenarios="1"/>
  <mergeCells count="12">
    <mergeCell ref="A60:E60"/>
    <mergeCell ref="A10:E10"/>
    <mergeCell ref="A16:E16"/>
    <mergeCell ref="A26:E26"/>
    <mergeCell ref="A36:E36"/>
    <mergeCell ref="A45:E45"/>
    <mergeCell ref="A1:E1"/>
    <mergeCell ref="A2:E2"/>
    <mergeCell ref="A3:E3"/>
    <mergeCell ref="A4:E4"/>
    <mergeCell ref="A51:E51"/>
    <mergeCell ref="A56:E56"/>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Ternz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Mackie</dc:creator>
  <cp:keywords/>
  <dc:description/>
  <cp:lastModifiedBy>Transport Engineer</cp:lastModifiedBy>
  <cp:lastPrinted>2006-07-09T22:01:15Z</cp:lastPrinted>
  <dcterms:created xsi:type="dcterms:W3CDTF">2005-11-24T01:13:46Z</dcterms:created>
  <dcterms:modified xsi:type="dcterms:W3CDTF">2008-10-08T23:27:56Z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